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Seafile\Jegyző\2026\testületi anyagok\február\"/>
    </mc:Choice>
  </mc:AlternateContent>
  <bookViews>
    <workbookView xWindow="-120" yWindow="-120" windowWidth="29040" windowHeight="15720" firstSheet="1" activeTab="2"/>
  </bookViews>
  <sheets>
    <sheet name="nyersag jelenlegi" sheetId="2" r:id="rId1"/>
    <sheet name="rezsi konyha" sheetId="5" r:id="rId2"/>
    <sheet name="szoc. bér kiadás" sheetId="10" r:id="rId3"/>
    <sheet name="szoc.étk." sheetId="7" r:id="rId4"/>
    <sheet name="norma-felhaszn.2025" sheetId="8" r:id="rId5"/>
    <sheet name="szoc.étk. javaslatok" sheetId="9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9" l="1"/>
  <c r="M8" i="9"/>
  <c r="E34" i="7" l="1"/>
  <c r="D21" i="7"/>
  <c r="D10" i="7"/>
  <c r="D17" i="7" s="1"/>
  <c r="D19" i="7" s="1"/>
  <c r="E10" i="7"/>
  <c r="B11" i="10"/>
  <c r="E4" i="10"/>
  <c r="D4" i="10"/>
  <c r="E7" i="10"/>
  <c r="D7" i="10"/>
  <c r="C11" i="10" l="1"/>
  <c r="H8" i="9"/>
  <c r="I8" i="9" s="1"/>
  <c r="F8" i="9"/>
  <c r="E8" i="9"/>
  <c r="C8" i="9"/>
  <c r="J7" i="9"/>
  <c r="K8" i="9" s="1"/>
  <c r="L8" i="9" s="1"/>
  <c r="H7" i="9"/>
  <c r="I7" i="9" s="1"/>
  <c r="E7" i="9"/>
  <c r="F7" i="9" s="1"/>
  <c r="C7" i="9"/>
  <c r="K7" i="9" l="1"/>
  <c r="L7" i="9" s="1"/>
  <c r="O8" i="8"/>
  <c r="O11" i="8"/>
  <c r="O14" i="8"/>
  <c r="O17" i="8"/>
  <c r="O18" i="8"/>
  <c r="O21" i="8"/>
  <c r="O29" i="8"/>
  <c r="O32" i="8"/>
  <c r="O35" i="8"/>
  <c r="O38" i="8"/>
  <c r="O41" i="8"/>
  <c r="O5" i="8"/>
  <c r="H38" i="8"/>
  <c r="H35" i="8"/>
  <c r="I35" i="8"/>
  <c r="H32" i="8"/>
  <c r="I32" i="8"/>
  <c r="K32" i="8"/>
  <c r="H29" i="8"/>
  <c r="I29" i="8"/>
  <c r="H26" i="8"/>
  <c r="I26" i="8"/>
  <c r="K26" i="8"/>
  <c r="H23" i="8"/>
  <c r="I23" i="8"/>
  <c r="K23" i="8"/>
  <c r="H20" i="8"/>
  <c r="I20" i="8"/>
  <c r="K20" i="8"/>
  <c r="H17" i="8"/>
  <c r="I17" i="8"/>
  <c r="K17" i="8"/>
  <c r="H14" i="8"/>
  <c r="I14" i="8"/>
  <c r="K14" i="8"/>
  <c r="H11" i="8"/>
  <c r="I11" i="8"/>
  <c r="K11" i="8"/>
  <c r="H8" i="8"/>
  <c r="I8" i="8"/>
  <c r="K8" i="8"/>
  <c r="I5" i="8"/>
  <c r="K5" i="8"/>
  <c r="H5" i="8"/>
  <c r="F18" i="2"/>
  <c r="N37" i="8"/>
  <c r="N36" i="8"/>
  <c r="N39" i="8" s="1"/>
  <c r="N35" i="8"/>
  <c r="N32" i="8"/>
  <c r="N29" i="8"/>
  <c r="N26" i="8"/>
  <c r="N23" i="8"/>
  <c r="N20" i="8"/>
  <c r="N17" i="8"/>
  <c r="N14" i="8"/>
  <c r="N11" i="8"/>
  <c r="N8" i="8"/>
  <c r="N5" i="8"/>
  <c r="F17" i="2"/>
  <c r="E17" i="7"/>
  <c r="E19" i="7" s="1"/>
  <c r="M7" i="9" s="1"/>
  <c r="E21" i="7"/>
  <c r="B21" i="5"/>
  <c r="B19" i="5"/>
  <c r="N7" i="9" l="1"/>
  <c r="O7" i="9" s="1"/>
  <c r="N8" i="9"/>
  <c r="O8" i="9" s="1"/>
  <c r="N38" i="8"/>
  <c r="N41" i="8" s="1"/>
  <c r="N40" i="8"/>
  <c r="N42" i="8" s="1"/>
  <c r="B48" i="5"/>
  <c r="B46" i="5"/>
  <c r="E38" i="7"/>
  <c r="C33" i="7"/>
  <c r="B33" i="7"/>
  <c r="F23" i="2"/>
  <c r="F8" i="2"/>
  <c r="D18" i="2"/>
  <c r="E18" i="2" s="1"/>
  <c r="E17" i="2"/>
  <c r="D13" i="2"/>
  <c r="F13" i="2" s="1"/>
  <c r="D8" i="2"/>
  <c r="E8" i="2" s="1"/>
  <c r="E37" i="8"/>
  <c r="E36" i="8"/>
  <c r="E38" i="8" s="1"/>
  <c r="F37" i="8"/>
  <c r="K38" i="8" s="1"/>
  <c r="F36" i="8"/>
  <c r="D37" i="8"/>
  <c r="D36" i="8"/>
  <c r="F33" i="8"/>
  <c r="K35" i="8" s="1"/>
  <c r="E34" i="8"/>
  <c r="J35" i="8" s="1"/>
  <c r="E33" i="8"/>
  <c r="E31" i="8"/>
  <c r="E30" i="8"/>
  <c r="G30" i="8" s="1"/>
  <c r="F27" i="8"/>
  <c r="K29" i="8" s="1"/>
  <c r="E28" i="8"/>
  <c r="E27" i="8"/>
  <c r="G21" i="8"/>
  <c r="E19" i="8"/>
  <c r="E18" i="8"/>
  <c r="E20" i="8" s="1"/>
  <c r="E16" i="8"/>
  <c r="J17" i="8" s="1"/>
  <c r="E15" i="8"/>
  <c r="G15" i="8" s="1"/>
  <c r="E13" i="8"/>
  <c r="J14" i="8" s="1"/>
  <c r="E12" i="8"/>
  <c r="G12" i="8" s="1"/>
  <c r="E10" i="8"/>
  <c r="E9" i="8"/>
  <c r="E7" i="8"/>
  <c r="J8" i="8" s="1"/>
  <c r="E6" i="8"/>
  <c r="G6" i="8" s="1"/>
  <c r="E4" i="8"/>
  <c r="E3" i="8"/>
  <c r="C40" i="8"/>
  <c r="C39" i="8"/>
  <c r="C38" i="8"/>
  <c r="D35" i="8"/>
  <c r="C35" i="8"/>
  <c r="F32" i="8"/>
  <c r="D32" i="8"/>
  <c r="C32" i="8"/>
  <c r="D29" i="8"/>
  <c r="C29" i="8"/>
  <c r="F26" i="8"/>
  <c r="E26" i="8"/>
  <c r="D26" i="8"/>
  <c r="C26" i="8"/>
  <c r="G25" i="8"/>
  <c r="G24" i="8"/>
  <c r="F23" i="8"/>
  <c r="E23" i="8"/>
  <c r="D23" i="8"/>
  <c r="C23" i="8"/>
  <c r="G22" i="8"/>
  <c r="F20" i="8"/>
  <c r="D20" i="8"/>
  <c r="C20" i="8"/>
  <c r="G19" i="8"/>
  <c r="F17" i="8"/>
  <c r="D17" i="8"/>
  <c r="C17" i="8"/>
  <c r="F14" i="8"/>
  <c r="D14" i="8"/>
  <c r="C14" i="8"/>
  <c r="F11" i="8"/>
  <c r="D11" i="8"/>
  <c r="C11" i="8"/>
  <c r="F8" i="8"/>
  <c r="D8" i="8"/>
  <c r="C8" i="8"/>
  <c r="G3" i="8"/>
  <c r="D5" i="8"/>
  <c r="F5" i="8"/>
  <c r="C5" i="8"/>
  <c r="E11" i="7"/>
  <c r="E12" i="7" s="1"/>
  <c r="B18" i="2"/>
  <c r="C18" i="2" s="1"/>
  <c r="C17" i="2"/>
  <c r="B13" i="2"/>
  <c r="C13" i="2" s="1"/>
  <c r="B8" i="2"/>
  <c r="C8" i="2" s="1"/>
  <c r="C21" i="7"/>
  <c r="J11" i="8" l="1"/>
  <c r="J32" i="8"/>
  <c r="G7" i="8"/>
  <c r="L8" i="8" s="1"/>
  <c r="I38" i="8"/>
  <c r="H41" i="8"/>
  <c r="J20" i="8"/>
  <c r="J5" i="8"/>
  <c r="J29" i="8"/>
  <c r="J38" i="8"/>
  <c r="E17" i="8"/>
  <c r="D38" i="8"/>
  <c r="D41" i="8" s="1"/>
  <c r="D40" i="8"/>
  <c r="G16" i="8"/>
  <c r="L17" i="8" s="1"/>
  <c r="G28" i="8"/>
  <c r="G34" i="8"/>
  <c r="G10" i="8"/>
  <c r="G31" i="8"/>
  <c r="L32" i="8" s="1"/>
  <c r="E14" i="8"/>
  <c r="G14" i="8" s="1"/>
  <c r="L23" i="8"/>
  <c r="F35" i="8"/>
  <c r="F40" i="8"/>
  <c r="E11" i="8"/>
  <c r="G11" i="8" s="1"/>
  <c r="F29" i="8"/>
  <c r="L26" i="8"/>
  <c r="C42" i="8"/>
  <c r="E13" i="2"/>
  <c r="F38" i="8"/>
  <c r="G37" i="8"/>
  <c r="D39" i="8"/>
  <c r="G36" i="8"/>
  <c r="E35" i="8"/>
  <c r="G33" i="8"/>
  <c r="E32" i="8"/>
  <c r="G32" i="8" s="1"/>
  <c r="F39" i="8"/>
  <c r="G27" i="8"/>
  <c r="E29" i="8"/>
  <c r="G26" i="8"/>
  <c r="G23" i="8"/>
  <c r="G20" i="8"/>
  <c r="G18" i="8"/>
  <c r="L20" i="8" s="1"/>
  <c r="G17" i="8"/>
  <c r="G13" i="8"/>
  <c r="L14" i="8" s="1"/>
  <c r="E40" i="8"/>
  <c r="G9" i="8"/>
  <c r="E39" i="8"/>
  <c r="E8" i="8"/>
  <c r="G8" i="8"/>
  <c r="E5" i="8"/>
  <c r="G4" i="8"/>
  <c r="L5" i="8" s="1"/>
  <c r="C41" i="8"/>
  <c r="D11" i="7"/>
  <c r="D12" i="7" s="1"/>
  <c r="J41" i="8" l="1"/>
  <c r="I41" i="8"/>
  <c r="L11" i="8"/>
  <c r="L29" i="8"/>
  <c r="K41" i="8"/>
  <c r="G29" i="8"/>
  <c r="D42" i="8"/>
  <c r="G38" i="8"/>
  <c r="L35" i="8"/>
  <c r="L38" i="8"/>
  <c r="F42" i="8"/>
  <c r="G35" i="8"/>
  <c r="E42" i="8"/>
  <c r="F41" i="8"/>
  <c r="G39" i="8"/>
  <c r="E41" i="8"/>
  <c r="G40" i="8"/>
  <c r="G5" i="8"/>
  <c r="B33" i="5"/>
  <c r="B34" i="5" s="1"/>
  <c r="B38" i="5" s="1"/>
  <c r="B39" i="5" s="1"/>
  <c r="B40" i="5" s="1"/>
  <c r="G41" i="8" l="1"/>
  <c r="L41" i="8"/>
  <c r="G42" i="8"/>
  <c r="C19" i="7"/>
  <c r="C11" i="7"/>
  <c r="C12" i="7" s="1"/>
  <c r="B22" i="5"/>
  <c r="B9" i="5" l="1"/>
  <c r="B10" i="5" s="1"/>
  <c r="B14" i="5" s="1"/>
  <c r="B15" i="5" s="1"/>
  <c r="B16" i="5" s="1"/>
  <c r="E33" i="7"/>
  <c r="D33" i="7"/>
  <c r="E40" i="7" l="1"/>
  <c r="E41" i="7" l="1"/>
  <c r="E42" i="7" s="1"/>
</calcChain>
</file>

<file path=xl/sharedStrings.xml><?xml version="1.0" encoding="utf-8"?>
<sst xmlns="http://schemas.openxmlformats.org/spreadsheetml/2006/main" count="201" uniqueCount="110">
  <si>
    <t>Gyerek menza (ebéd)</t>
  </si>
  <si>
    <t>tízórai</t>
  </si>
  <si>
    <t xml:space="preserve">ebéd </t>
  </si>
  <si>
    <t>uzsonna</t>
  </si>
  <si>
    <t>nyersanyagnorma Ft/adag</t>
  </si>
  <si>
    <t xml:space="preserve">Gyerek egész nap </t>
  </si>
  <si>
    <t>Gyerek egész nap (napközi)</t>
  </si>
  <si>
    <t xml:space="preserve">Óvoda </t>
  </si>
  <si>
    <t xml:space="preserve">Általános Iskola </t>
  </si>
  <si>
    <t>Bölcsődés gyerek</t>
  </si>
  <si>
    <t>reggeli</t>
  </si>
  <si>
    <t>ebéd</t>
  </si>
  <si>
    <t>Császári Nyitnikék Óvoda Főzőkonyha</t>
  </si>
  <si>
    <t>Kiadások</t>
  </si>
  <si>
    <t>Összeg Ft</t>
  </si>
  <si>
    <t>Beruházások</t>
  </si>
  <si>
    <t>Személyi kiadások</t>
  </si>
  <si>
    <t>Járulékok</t>
  </si>
  <si>
    <t>Dologi kiadások - élelmiszer beszerzés nélkül</t>
  </si>
  <si>
    <t>Összesen</t>
  </si>
  <si>
    <t>Étkezési adag összesen</t>
  </si>
  <si>
    <t>Rezsiköltség nettó:</t>
  </si>
  <si>
    <t>Áfa</t>
  </si>
  <si>
    <t>Összesen:</t>
  </si>
  <si>
    <t>összes dologi kiadás</t>
  </si>
  <si>
    <t>élelmiszer beszerzés</t>
  </si>
  <si>
    <t>ÁFA</t>
  </si>
  <si>
    <t>dologi kiadás élelmiszer beszerzés nélkül</t>
  </si>
  <si>
    <t>Császár Község Önkormányzat</t>
  </si>
  <si>
    <t>Állami támogatás</t>
  </si>
  <si>
    <t>Fizetendő napi térítési díj:</t>
  </si>
  <si>
    <t>nyersanyagköltség</t>
  </si>
  <si>
    <t>áfa 27%</t>
  </si>
  <si>
    <t>Fizetendő</t>
  </si>
  <si>
    <t>Szociális étkeztetésért fizetendő intézményi térítési díj állami támogatás igénybe vételével</t>
  </si>
  <si>
    <t>Térítési díj</t>
  </si>
  <si>
    <t>megb.díj össz.</t>
  </si>
  <si>
    <t>járulék össz.</t>
  </si>
  <si>
    <t>1 fő megbízási díja</t>
  </si>
  <si>
    <t>összes kiadás</t>
  </si>
  <si>
    <t>nap</t>
  </si>
  <si>
    <t>Házhoz szállítás díja</t>
  </si>
  <si>
    <t>összesen</t>
  </si>
  <si>
    <t>kerekítve</t>
  </si>
  <si>
    <t xml:space="preserve">Szociális étkezők </t>
  </si>
  <si>
    <t>ÁFA-val</t>
  </si>
  <si>
    <t xml:space="preserve">Intézményi térítési díj - nettó </t>
  </si>
  <si>
    <t>bruttó térítési díj Ft/adag</t>
  </si>
  <si>
    <t>jelenlegi</t>
  </si>
  <si>
    <t>1 fő munkabér időarányos rész napi 1,5 óra</t>
  </si>
  <si>
    <t xml:space="preserve">Nyersanyagnorma és térítési díj </t>
  </si>
  <si>
    <t>intézményi térítési díj házhozszállítással</t>
  </si>
  <si>
    <t>intézményi térítési díj szállítás nélkül</t>
  </si>
  <si>
    <t>nettó</t>
  </si>
  <si>
    <t>bruttó</t>
  </si>
  <si>
    <t>2025.jan-tól</t>
  </si>
  <si>
    <t>Jelenlegi házhoz szállítás díja nettó 220,- Ft/alkalom</t>
  </si>
  <si>
    <t>kalkuláció</t>
  </si>
  <si>
    <t>Bölcsőde</t>
  </si>
  <si>
    <t>Óvoda</t>
  </si>
  <si>
    <t>Ált.Iskola</t>
  </si>
  <si>
    <t>Szoc.étk.</t>
  </si>
  <si>
    <t>norma szerinti</t>
  </si>
  <si>
    <t>felhasznált</t>
  </si>
  <si>
    <t>január</t>
  </si>
  <si>
    <t>2025.</t>
  </si>
  <si>
    <t>különbözet (+ túllépés; - megtakarítás)</t>
  </si>
  <si>
    <t>február</t>
  </si>
  <si>
    <t>március</t>
  </si>
  <si>
    <t>április</t>
  </si>
  <si>
    <t>május</t>
  </si>
  <si>
    <t xml:space="preserve">június </t>
  </si>
  <si>
    <t>július</t>
  </si>
  <si>
    <t>augusztus</t>
  </si>
  <si>
    <t>október</t>
  </si>
  <si>
    <t>november</t>
  </si>
  <si>
    <t>december</t>
  </si>
  <si>
    <t>szeptember</t>
  </si>
  <si>
    <t>javaslat 2026.04.01-től</t>
  </si>
  <si>
    <t>Szociális étkeztetés intézményi térítési díj tervezete 2026. év</t>
  </si>
  <si>
    <t>Szociális étkeztetés házhoz szállítási díja 2026. év</t>
  </si>
  <si>
    <t>2025.dec.</t>
  </si>
  <si>
    <t>Házhoz szállítás tervezett igénybe vétele átlagosan 20 fő.</t>
  </si>
  <si>
    <t xml:space="preserve">20 fő * 249 nap = </t>
  </si>
  <si>
    <t>94.500/fő/év</t>
  </si>
  <si>
    <t>1 napra jutó 94.500,- Ft : 249 nap = 379,518 ~ 380,- Ft/nap</t>
  </si>
  <si>
    <t>2026. terv adatok alapján</t>
  </si>
  <si>
    <t>2025. tény adatok alapján</t>
  </si>
  <si>
    <t>2026. évi rezsiköltség számítás a 2026. évi tervadatok alapján</t>
  </si>
  <si>
    <t>2026. évi rezsiköltség számítás a 2025. évi tényadatok alapján</t>
  </si>
  <si>
    <t>2025. tény adatok alapján a rezsi, norma 480,- Ft-tal</t>
  </si>
  <si>
    <t>2026.évi terv adatok alapján a a rezsi, norma 480,- Ft-tal</t>
  </si>
  <si>
    <t>2025. tény adatok alapján számolva a rezsi, norma 480,- Ft-tal; szállítás változatlan nettó 220,- Ft-tal</t>
  </si>
  <si>
    <t>2026.évi terv adatok alapján a a rezsi, norma 480,- Ft-tal, szállítás változatlan nettó 220,- Ft-tal</t>
  </si>
  <si>
    <t>változás</t>
  </si>
  <si>
    <t>TERVEZETEK</t>
  </si>
  <si>
    <t>10 % emeléssel számolva (nyersanyag 480,- Ft; rezsiből kiszámlázva 445,- Ft; szállítás 240,- Ft)</t>
  </si>
  <si>
    <t>csak menza</t>
  </si>
  <si>
    <t>15 % emeléssel számolva (nyersanyag 480,- Ft; rezsiből kiszámlázva 485,- Ft; szállítás 240,- Ft)</t>
  </si>
  <si>
    <t>rezsiköltség (konyha + megb.díj)</t>
  </si>
  <si>
    <t>2025. tény</t>
  </si>
  <si>
    <t>2026.terv</t>
  </si>
  <si>
    <t>Nyilvántartások vezetése, jelentések</t>
  </si>
  <si>
    <t>2024.dec.</t>
  </si>
  <si>
    <t>2026.jan-tól</t>
  </si>
  <si>
    <t>1 adagra jutó költség</t>
  </si>
  <si>
    <t>1. sz. tervezet</t>
  </si>
  <si>
    <t>2. sz. tervezet</t>
  </si>
  <si>
    <t>3. sz. tervezet</t>
  </si>
  <si>
    <t>4. sz. tervezet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</si>
</sst>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5" fillId="0" borderId="0"/>
  </cellStyleXfs>
  <cellXfs count="82">
    <xf numFmtId="0" fontId="0" fillId="0" borderId="0" xfId="0"/>
    <xf numFmtId="0" fontId="0" fillId="0" borderId="1" xfId="0" applyBorder="1"/>
    <xf numFmtId="0" fontId="7" fillId="0" borderId="0" xfId="0" applyFont="1"/>
    <xf numFmtId="0" fontId="11" fillId="0" borderId="0" xfId="0" applyFont="1"/>
    <xf numFmtId="9" fontId="0" fillId="0" borderId="0" xfId="0" applyNumberFormat="1"/>
    <xf numFmtId="10" fontId="12" fillId="0" borderId="0" xfId="0" applyNumberFormat="1" applyFont="1"/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0" xfId="0" applyFont="1"/>
    <xf numFmtId="0" fontId="18" fillId="0" borderId="4" xfId="0" applyFont="1" applyBorder="1" applyAlignment="1">
      <alignment vertical="center"/>
    </xf>
    <xf numFmtId="3" fontId="18" fillId="0" borderId="5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" xfId="0" applyFont="1" applyBorder="1" applyAlignment="1">
      <alignment vertical="center"/>
    </xf>
    <xf numFmtId="3" fontId="18" fillId="0" borderId="7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3" fontId="16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8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20" fillId="0" borderId="0" xfId="0" applyFont="1"/>
    <xf numFmtId="6" fontId="20" fillId="0" borderId="0" xfId="0" applyNumberFormat="1" applyFont="1"/>
    <xf numFmtId="0" fontId="7" fillId="0" borderId="1" xfId="0" applyFont="1" applyBorder="1"/>
    <xf numFmtId="0" fontId="21" fillId="0" borderId="1" xfId="0" applyFont="1" applyBorder="1"/>
    <xf numFmtId="165" fontId="21" fillId="0" borderId="1" xfId="0" applyNumberFormat="1" applyFont="1" applyBorder="1"/>
    <xf numFmtId="165" fontId="22" fillId="0" borderId="1" xfId="0" applyNumberFormat="1" applyFont="1" applyBorder="1"/>
    <xf numFmtId="0" fontId="21" fillId="0" borderId="0" xfId="0" applyFont="1"/>
    <xf numFmtId="6" fontId="21" fillId="0" borderId="0" xfId="0" applyNumberFormat="1" applyFont="1"/>
    <xf numFmtId="3" fontId="2" fillId="0" borderId="0" xfId="0" applyNumberFormat="1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6" fontId="20" fillId="0" borderId="1" xfId="0" applyNumberFormat="1" applyFont="1" applyBorder="1"/>
    <xf numFmtId="6" fontId="14" fillId="0" borderId="1" xfId="0" applyNumberFormat="1" applyFont="1" applyBorder="1"/>
    <xf numFmtId="6" fontId="1" fillId="0" borderId="0" xfId="0" applyNumberFormat="1" applyFont="1"/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6" fontId="0" fillId="0" borderId="1" xfId="0" applyNumberFormat="1" applyBorder="1"/>
    <xf numFmtId="165" fontId="24" fillId="0" borderId="1" xfId="0" applyNumberFormat="1" applyFont="1" applyBorder="1"/>
    <xf numFmtId="165" fontId="14" fillId="0" borderId="1" xfId="0" applyNumberFormat="1" applyFont="1" applyBorder="1"/>
    <xf numFmtId="165" fontId="23" fillId="0" borderId="1" xfId="0" applyNumberFormat="1" applyFont="1" applyBorder="1"/>
    <xf numFmtId="0" fontId="7" fillId="0" borderId="1" xfId="0" applyFont="1" applyBorder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164" fontId="7" fillId="2" borderId="1" xfId="0" applyNumberFormat="1" applyFont="1" applyFill="1" applyBorder="1"/>
    <xf numFmtId="0" fontId="10" fillId="0" borderId="1" xfId="1" applyFont="1" applyBorder="1" applyAlignment="1">
      <alignment horizontal="left" vertical="center" indent="2"/>
    </xf>
    <xf numFmtId="164" fontId="11" fillId="0" borderId="1" xfId="0" applyNumberFormat="1" applyFont="1" applyBorder="1"/>
    <xf numFmtId="164" fontId="12" fillId="0" borderId="1" xfId="0" applyNumberFormat="1" applyFont="1" applyBorder="1"/>
    <xf numFmtId="164" fontId="7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indent="2"/>
    </xf>
    <xf numFmtId="10" fontId="7" fillId="0" borderId="1" xfId="0" applyNumberFormat="1" applyFont="1" applyBorder="1"/>
    <xf numFmtId="10" fontId="11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10" fontId="7" fillId="2" borderId="1" xfId="0" applyNumberFormat="1" applyFont="1" applyFill="1" applyBorder="1"/>
    <xf numFmtId="164" fontId="0" fillId="2" borderId="1" xfId="0" applyNumberFormat="1" applyFill="1" applyBorder="1"/>
    <xf numFmtId="0" fontId="18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1" xfId="0" applyFont="1" applyBorder="1"/>
    <xf numFmtId="6" fontId="0" fillId="0" borderId="1" xfId="0" applyNumberFormat="1" applyFont="1" applyBorder="1"/>
    <xf numFmtId="0" fontId="25" fillId="0" borderId="1" xfId="0" applyFont="1" applyBorder="1"/>
    <xf numFmtId="6" fontId="14" fillId="0" borderId="0" xfId="0" applyNumberFormat="1" applyFont="1"/>
    <xf numFmtId="0" fontId="0" fillId="0" borderId="0" xfId="0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</cellXfs>
  <cellStyles count="7">
    <cellStyle name="Ezres 2" xfId="2"/>
    <cellStyle name="Normál" xfId="0" builtinId="0"/>
    <cellStyle name="Normál 2" xfId="1"/>
    <cellStyle name="Normál 2 2" xfId="5"/>
    <cellStyle name="Normál 3" xfId="4"/>
    <cellStyle name="Normál 4" xfId="6"/>
    <cellStyle name="Normá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topLeftCell="A10" workbookViewId="0">
      <selection activeCell="A5" sqref="A5:F23"/>
    </sheetView>
  </sheetViews>
  <sheetFormatPr defaultRowHeight="14.5" x14ac:dyDescent="0.35"/>
  <cols>
    <col min="1" max="1" width="37.7265625" bestFit="1" customWidth="1"/>
    <col min="2" max="2" width="13.26953125" customWidth="1"/>
    <col min="3" max="3" width="13.7265625" customWidth="1"/>
    <col min="4" max="4" width="13.26953125" customWidth="1"/>
    <col min="5" max="5" width="13.7265625" customWidth="1"/>
    <col min="6" max="6" width="9.54296875" style="2" customWidth="1"/>
  </cols>
  <sheetData>
    <row r="3" spans="1:7" x14ac:dyDescent="0.35">
      <c r="A3" s="23" t="s">
        <v>50</v>
      </c>
    </row>
    <row r="5" spans="1:7" x14ac:dyDescent="0.35">
      <c r="B5" s="72" t="s">
        <v>48</v>
      </c>
      <c r="C5" s="73"/>
      <c r="D5" s="74" t="s">
        <v>78</v>
      </c>
      <c r="E5" s="75"/>
    </row>
    <row r="6" spans="1:7" ht="21" x14ac:dyDescent="0.35">
      <c r="B6" s="61" t="s">
        <v>4</v>
      </c>
      <c r="C6" s="61" t="s">
        <v>47</v>
      </c>
      <c r="D6" s="61" t="s">
        <v>4</v>
      </c>
      <c r="E6" s="61" t="s">
        <v>47</v>
      </c>
    </row>
    <row r="7" spans="1:7" x14ac:dyDescent="0.35">
      <c r="A7" s="50" t="s">
        <v>7</v>
      </c>
      <c r="B7" s="26"/>
      <c r="C7" s="1"/>
      <c r="D7" s="26"/>
      <c r="E7" s="1"/>
      <c r="F7" s="26"/>
    </row>
    <row r="8" spans="1:7" x14ac:dyDescent="0.35">
      <c r="A8" s="51" t="s">
        <v>5</v>
      </c>
      <c r="B8" s="52">
        <f>SUM(B9:B11)</f>
        <v>430</v>
      </c>
      <c r="C8" s="52">
        <f>B8*1.27</f>
        <v>546.1</v>
      </c>
      <c r="D8" s="52">
        <f>SUM(D9:D11)</f>
        <v>540</v>
      </c>
      <c r="E8" s="52">
        <f>D8*1.27</f>
        <v>685.8</v>
      </c>
      <c r="F8" s="62">
        <f>D8/B8</f>
        <v>1.2558139534883721</v>
      </c>
      <c r="G8" s="4"/>
    </row>
    <row r="9" spans="1:7" x14ac:dyDescent="0.35">
      <c r="A9" s="53" t="s">
        <v>1</v>
      </c>
      <c r="B9" s="54">
        <v>90</v>
      </c>
      <c r="C9" s="55"/>
      <c r="D9" s="54">
        <v>115</v>
      </c>
      <c r="E9" s="55"/>
      <c r="F9" s="60"/>
      <c r="G9" s="5"/>
    </row>
    <row r="10" spans="1:7" x14ac:dyDescent="0.35">
      <c r="A10" s="53" t="s">
        <v>2</v>
      </c>
      <c r="B10" s="54">
        <v>250</v>
      </c>
      <c r="C10" s="55"/>
      <c r="D10" s="54">
        <v>310</v>
      </c>
      <c r="E10" s="55"/>
      <c r="F10" s="60"/>
      <c r="G10" s="5"/>
    </row>
    <row r="11" spans="1:7" x14ac:dyDescent="0.35">
      <c r="A11" s="53" t="s">
        <v>3</v>
      </c>
      <c r="B11" s="54">
        <v>90</v>
      </c>
      <c r="C11" s="55"/>
      <c r="D11" s="54">
        <v>115</v>
      </c>
      <c r="E11" s="55"/>
      <c r="F11" s="60"/>
      <c r="G11" s="5"/>
    </row>
    <row r="12" spans="1:7" x14ac:dyDescent="0.35">
      <c r="A12" s="50" t="s">
        <v>8</v>
      </c>
      <c r="B12" s="56"/>
      <c r="C12" s="56"/>
      <c r="D12" s="56"/>
      <c r="E12" s="56"/>
      <c r="F12" s="59"/>
      <c r="G12" s="5"/>
    </row>
    <row r="13" spans="1:7" x14ac:dyDescent="0.35">
      <c r="A13" s="51" t="s">
        <v>6</v>
      </c>
      <c r="B13" s="52">
        <f>SUM(B14:B16)</f>
        <v>560</v>
      </c>
      <c r="C13" s="52">
        <f>B13*1.27</f>
        <v>711.2</v>
      </c>
      <c r="D13" s="52">
        <f>SUM(D14:D16)</f>
        <v>630</v>
      </c>
      <c r="E13" s="52">
        <f>D13*1.27</f>
        <v>800.1</v>
      </c>
      <c r="F13" s="62">
        <f>D13/B13</f>
        <v>1.125</v>
      </c>
      <c r="G13" s="5"/>
    </row>
    <row r="14" spans="1:7" x14ac:dyDescent="0.35">
      <c r="A14" s="53" t="s">
        <v>1</v>
      </c>
      <c r="B14" s="55">
        <v>90</v>
      </c>
      <c r="C14" s="55"/>
      <c r="D14" s="55">
        <v>115</v>
      </c>
      <c r="E14" s="55"/>
      <c r="F14" s="60"/>
      <c r="G14" s="5"/>
    </row>
    <row r="15" spans="1:7" x14ac:dyDescent="0.35">
      <c r="A15" s="53" t="s">
        <v>2</v>
      </c>
      <c r="B15" s="55">
        <v>380</v>
      </c>
      <c r="C15" s="55"/>
      <c r="D15" s="55">
        <v>400</v>
      </c>
      <c r="E15" s="55"/>
      <c r="F15" s="60"/>
      <c r="G15" s="5"/>
    </row>
    <row r="16" spans="1:7" x14ac:dyDescent="0.35">
      <c r="A16" s="53" t="s">
        <v>3</v>
      </c>
      <c r="B16" s="55">
        <v>90</v>
      </c>
      <c r="C16" s="55"/>
      <c r="D16" s="55">
        <v>115</v>
      </c>
      <c r="E16" s="55"/>
      <c r="F16" s="60"/>
      <c r="G16" s="5"/>
    </row>
    <row r="17" spans="1:7" x14ac:dyDescent="0.35">
      <c r="A17" s="51" t="s">
        <v>0</v>
      </c>
      <c r="B17" s="52">
        <v>380</v>
      </c>
      <c r="C17" s="52">
        <f t="shared" ref="C17" si="0">B17*1.27</f>
        <v>482.6</v>
      </c>
      <c r="D17" s="52">
        <v>400</v>
      </c>
      <c r="E17" s="52">
        <f t="shared" ref="E17" si="1">D17*1.27</f>
        <v>508</v>
      </c>
      <c r="F17" s="62">
        <f>D17/B17</f>
        <v>1.0526315789473684</v>
      </c>
      <c r="G17" s="5"/>
    </row>
    <row r="18" spans="1:7" s="2" customFormat="1" ht="15" customHeight="1" x14ac:dyDescent="0.25">
      <c r="A18" s="57" t="s">
        <v>9</v>
      </c>
      <c r="B18" s="52">
        <f>SUM(B19:B22)</f>
        <v>620</v>
      </c>
      <c r="C18" s="52">
        <f>B18*1.27</f>
        <v>787.4</v>
      </c>
      <c r="D18" s="52">
        <f>SUM(D19:D22)</f>
        <v>620</v>
      </c>
      <c r="E18" s="52">
        <f>D18*1.27</f>
        <v>787.4</v>
      </c>
      <c r="F18" s="62">
        <f>D18/B18</f>
        <v>1</v>
      </c>
      <c r="G18" s="5"/>
    </row>
    <row r="19" spans="1:7" s="3" customFormat="1" ht="15" customHeight="1" x14ac:dyDescent="0.25">
      <c r="A19" s="58" t="s">
        <v>10</v>
      </c>
      <c r="B19" s="54">
        <v>120</v>
      </c>
      <c r="C19" s="55"/>
      <c r="D19" s="54">
        <v>120</v>
      </c>
      <c r="E19" s="55"/>
      <c r="F19" s="60"/>
      <c r="G19" s="5"/>
    </row>
    <row r="20" spans="1:7" s="3" customFormat="1" ht="15" customHeight="1" x14ac:dyDescent="0.25">
      <c r="A20" s="58" t="s">
        <v>1</v>
      </c>
      <c r="B20" s="54">
        <v>65</v>
      </c>
      <c r="C20" s="55"/>
      <c r="D20" s="54">
        <v>65</v>
      </c>
      <c r="E20" s="55"/>
      <c r="F20" s="60"/>
      <c r="G20" s="5"/>
    </row>
    <row r="21" spans="1:7" s="3" customFormat="1" ht="15" customHeight="1" x14ac:dyDescent="0.25">
      <c r="A21" s="58" t="s">
        <v>11</v>
      </c>
      <c r="B21" s="54">
        <v>350</v>
      </c>
      <c r="C21" s="55"/>
      <c r="D21" s="54">
        <v>350</v>
      </c>
      <c r="E21" s="55"/>
      <c r="F21" s="60"/>
      <c r="G21" s="5"/>
    </row>
    <row r="22" spans="1:7" s="3" customFormat="1" ht="15" customHeight="1" x14ac:dyDescent="0.25">
      <c r="A22" s="58" t="s">
        <v>3</v>
      </c>
      <c r="B22" s="54">
        <v>85</v>
      </c>
      <c r="C22" s="55"/>
      <c r="D22" s="54">
        <v>85</v>
      </c>
      <c r="E22" s="55"/>
      <c r="F22" s="60"/>
      <c r="G22" s="5"/>
    </row>
    <row r="23" spans="1:7" x14ac:dyDescent="0.35">
      <c r="A23" s="51" t="s">
        <v>44</v>
      </c>
      <c r="B23" s="52">
        <v>430</v>
      </c>
      <c r="C23" s="63"/>
      <c r="D23" s="52">
        <v>480</v>
      </c>
      <c r="E23" s="63"/>
      <c r="F23" s="62">
        <f>D23/B23</f>
        <v>1.1162790697674418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8"/>
  <sheetViews>
    <sheetView workbookViewId="0">
      <selection activeCell="B14" sqref="B14"/>
    </sheetView>
  </sheetViews>
  <sheetFormatPr defaultRowHeight="14.5" x14ac:dyDescent="0.35"/>
  <cols>
    <col min="1" max="1" width="41.81640625" bestFit="1" customWidth="1"/>
    <col min="2" max="2" width="12" bestFit="1" customWidth="1"/>
    <col min="3" max="3" width="10.26953125" customWidth="1"/>
  </cols>
  <sheetData>
    <row r="2" spans="1:3" ht="15.5" x14ac:dyDescent="0.35">
      <c r="A2" s="76" t="s">
        <v>12</v>
      </c>
      <c r="B2" s="76"/>
      <c r="C2" s="76"/>
    </row>
    <row r="3" spans="1:3" ht="15.5" x14ac:dyDescent="0.35">
      <c r="A3" s="76" t="s">
        <v>89</v>
      </c>
      <c r="B3" s="76"/>
      <c r="C3" s="76"/>
    </row>
    <row r="4" spans="1:3" ht="16" thickBot="1" x14ac:dyDescent="0.4">
      <c r="A4" s="33"/>
      <c r="B4" s="33"/>
      <c r="C4" s="33"/>
    </row>
    <row r="5" spans="1:3" ht="15" thickBot="1" x14ac:dyDescent="0.4">
      <c r="A5" s="6" t="s">
        <v>13</v>
      </c>
      <c r="B5" s="7" t="s">
        <v>14</v>
      </c>
      <c r="C5" s="8"/>
    </row>
    <row r="6" spans="1:3" ht="15" thickBot="1" x14ac:dyDescent="0.4">
      <c r="A6" s="9" t="s">
        <v>15</v>
      </c>
      <c r="B6" s="10"/>
      <c r="C6" s="8"/>
    </row>
    <row r="7" spans="1:3" ht="15" thickBot="1" x14ac:dyDescent="0.4">
      <c r="A7" s="9" t="s">
        <v>16</v>
      </c>
      <c r="B7" s="10">
        <v>23674654</v>
      </c>
      <c r="C7" s="11"/>
    </row>
    <row r="8" spans="1:3" ht="15" thickBot="1" x14ac:dyDescent="0.4">
      <c r="A8" s="9" t="s">
        <v>17</v>
      </c>
      <c r="B8" s="10">
        <v>2832725</v>
      </c>
      <c r="C8" s="11"/>
    </row>
    <row r="9" spans="1:3" ht="15" thickBot="1" x14ac:dyDescent="0.4">
      <c r="A9" s="12" t="s">
        <v>18</v>
      </c>
      <c r="B9" s="13">
        <f>B22</f>
        <v>7090505</v>
      </c>
      <c r="C9" s="11"/>
    </row>
    <row r="10" spans="1:3" ht="15" thickBot="1" x14ac:dyDescent="0.4">
      <c r="A10" s="14" t="s">
        <v>19</v>
      </c>
      <c r="B10" s="15">
        <f>SUM(B6:B9)</f>
        <v>33597884</v>
      </c>
      <c r="C10" s="16"/>
    </row>
    <row r="11" spans="1:3" ht="15" thickBot="1" x14ac:dyDescent="0.4">
      <c r="A11" s="8"/>
      <c r="B11" s="8"/>
      <c r="C11" s="8"/>
    </row>
    <row r="12" spans="1:3" ht="15" thickBot="1" x14ac:dyDescent="0.4">
      <c r="A12" s="17" t="s">
        <v>20</v>
      </c>
      <c r="B12" s="18">
        <v>35383</v>
      </c>
      <c r="C12" s="8"/>
    </row>
    <row r="13" spans="1:3" x14ac:dyDescent="0.35">
      <c r="A13" s="8"/>
      <c r="B13" s="8"/>
      <c r="C13" s="8"/>
    </row>
    <row r="14" spans="1:3" x14ac:dyDescent="0.35">
      <c r="A14" s="39" t="s">
        <v>21</v>
      </c>
      <c r="B14" s="40">
        <f>B10/B12</f>
        <v>949.54876635672497</v>
      </c>
      <c r="C14" s="8"/>
    </row>
    <row r="15" spans="1:3" x14ac:dyDescent="0.35">
      <c r="A15" s="19" t="s">
        <v>22</v>
      </c>
      <c r="B15" s="11">
        <f>B14*0.27</f>
        <v>256.37816691631576</v>
      </c>
      <c r="C15" s="8"/>
    </row>
    <row r="16" spans="1:3" x14ac:dyDescent="0.35">
      <c r="A16" s="19" t="s">
        <v>23</v>
      </c>
      <c r="B16" s="16">
        <f>B14+B15</f>
        <v>1205.9269332730407</v>
      </c>
      <c r="C16" s="16"/>
    </row>
    <row r="19" spans="1:4" x14ac:dyDescent="0.35">
      <c r="A19" s="20" t="s">
        <v>24</v>
      </c>
      <c r="B19" s="32">
        <f>30930942+221072</f>
        <v>31152014</v>
      </c>
      <c r="C19" s="21"/>
      <c r="D19" s="21"/>
    </row>
    <row r="20" spans="1:4" x14ac:dyDescent="0.35">
      <c r="A20" s="20" t="s">
        <v>25</v>
      </c>
      <c r="B20" s="32">
        <v>18604246</v>
      </c>
      <c r="C20" s="21"/>
      <c r="D20" s="21"/>
    </row>
    <row r="21" spans="1:4" x14ac:dyDescent="0.35">
      <c r="A21" s="20" t="s">
        <v>26</v>
      </c>
      <c r="B21" s="32">
        <f>5410263+47000</f>
        <v>5457263</v>
      </c>
      <c r="C21" s="21"/>
      <c r="D21" s="21"/>
    </row>
    <row r="22" spans="1:4" x14ac:dyDescent="0.35">
      <c r="A22" s="20" t="s">
        <v>27</v>
      </c>
      <c r="B22" s="32">
        <f>B19-B20-B21</f>
        <v>7090505</v>
      </c>
      <c r="C22" s="21"/>
      <c r="D22" s="21"/>
    </row>
    <row r="23" spans="1:4" x14ac:dyDescent="0.35">
      <c r="A23" s="21"/>
      <c r="B23" s="32"/>
      <c r="C23" s="21"/>
      <c r="D23" s="21"/>
    </row>
    <row r="24" spans="1:4" x14ac:dyDescent="0.35">
      <c r="A24" s="21"/>
      <c r="B24" s="32"/>
      <c r="C24" s="21"/>
      <c r="D24" s="21"/>
    </row>
    <row r="25" spans="1:4" x14ac:dyDescent="0.35">
      <c r="A25" s="21"/>
      <c r="B25" s="21"/>
      <c r="C25" s="21"/>
      <c r="D25" s="21"/>
    </row>
    <row r="26" spans="1:4" ht="15.5" x14ac:dyDescent="0.35">
      <c r="A26" s="76" t="s">
        <v>12</v>
      </c>
      <c r="B26" s="76"/>
      <c r="C26" s="76"/>
    </row>
    <row r="27" spans="1:4" ht="15.5" x14ac:dyDescent="0.35">
      <c r="A27" s="76" t="s">
        <v>88</v>
      </c>
      <c r="B27" s="76"/>
      <c r="C27" s="76"/>
    </row>
    <row r="28" spans="1:4" ht="16" thickBot="1" x14ac:dyDescent="0.4">
      <c r="A28" s="33"/>
      <c r="B28" s="33"/>
      <c r="C28" s="33"/>
    </row>
    <row r="29" spans="1:4" ht="15" thickBot="1" x14ac:dyDescent="0.4">
      <c r="A29" s="6" t="s">
        <v>13</v>
      </c>
      <c r="B29" s="7" t="s">
        <v>14</v>
      </c>
      <c r="C29" s="8"/>
    </row>
    <row r="30" spans="1:4" ht="15" thickBot="1" x14ac:dyDescent="0.4">
      <c r="A30" s="9" t="s">
        <v>15</v>
      </c>
      <c r="B30" s="10"/>
      <c r="C30" s="8"/>
    </row>
    <row r="31" spans="1:4" ht="15" thickBot="1" x14ac:dyDescent="0.4">
      <c r="A31" s="9" t="s">
        <v>16</v>
      </c>
      <c r="B31" s="10">
        <v>26967500</v>
      </c>
      <c r="C31" s="11"/>
    </row>
    <row r="32" spans="1:4" ht="15" thickBot="1" x14ac:dyDescent="0.4">
      <c r="A32" s="9" t="s">
        <v>17</v>
      </c>
      <c r="B32" s="10">
        <v>3672071</v>
      </c>
      <c r="C32" s="11"/>
    </row>
    <row r="33" spans="1:3" ht="15" thickBot="1" x14ac:dyDescent="0.4">
      <c r="A33" s="12" t="s">
        <v>18</v>
      </c>
      <c r="B33" s="13">
        <f>B46</f>
        <v>7510000</v>
      </c>
      <c r="C33" s="11"/>
    </row>
    <row r="34" spans="1:3" ht="15" thickBot="1" x14ac:dyDescent="0.4">
      <c r="A34" s="14" t="s">
        <v>19</v>
      </c>
      <c r="B34" s="15">
        <f>SUM(B30:B33)</f>
        <v>38149571</v>
      </c>
      <c r="C34" s="16"/>
    </row>
    <row r="35" spans="1:3" ht="15" thickBot="1" x14ac:dyDescent="0.4">
      <c r="A35" s="8"/>
      <c r="B35" s="8"/>
      <c r="C35" s="8"/>
    </row>
    <row r="36" spans="1:3" ht="15" thickBot="1" x14ac:dyDescent="0.4">
      <c r="A36" s="17" t="s">
        <v>20</v>
      </c>
      <c r="B36" s="18">
        <v>37381</v>
      </c>
      <c r="C36" s="8"/>
    </row>
    <row r="37" spans="1:3" x14ac:dyDescent="0.35">
      <c r="A37" s="8"/>
      <c r="B37" s="8"/>
      <c r="C37" s="8"/>
    </row>
    <row r="38" spans="1:3" x14ac:dyDescent="0.35">
      <c r="A38" s="39" t="s">
        <v>21</v>
      </c>
      <c r="B38" s="40">
        <f>B34/B36</f>
        <v>1020.560471897488</v>
      </c>
      <c r="C38" s="8"/>
    </row>
    <row r="39" spans="1:3" x14ac:dyDescent="0.35">
      <c r="A39" s="19" t="s">
        <v>22</v>
      </c>
      <c r="B39" s="11">
        <f>B38*0.27</f>
        <v>275.55132741232177</v>
      </c>
      <c r="C39" s="8"/>
    </row>
    <row r="40" spans="1:3" x14ac:dyDescent="0.35">
      <c r="A40" s="19" t="s">
        <v>23</v>
      </c>
      <c r="B40" s="16">
        <f>B38+B39</f>
        <v>1296.1117993098098</v>
      </c>
      <c r="C40" s="16"/>
    </row>
    <row r="43" spans="1:3" x14ac:dyDescent="0.35">
      <c r="A43" s="20" t="s">
        <v>24</v>
      </c>
      <c r="B43" s="32">
        <v>31327784</v>
      </c>
      <c r="C43" s="21"/>
    </row>
    <row r="44" spans="1:3" x14ac:dyDescent="0.35">
      <c r="A44" s="20" t="s">
        <v>25</v>
      </c>
      <c r="B44" s="32">
        <v>17301680</v>
      </c>
      <c r="C44" s="21"/>
    </row>
    <row r="45" spans="1:3" x14ac:dyDescent="0.35">
      <c r="A45" s="20" t="s">
        <v>26</v>
      </c>
      <c r="B45" s="32">
        <v>6516104</v>
      </c>
      <c r="C45" s="21"/>
    </row>
    <row r="46" spans="1:3" x14ac:dyDescent="0.35">
      <c r="A46" s="20" t="s">
        <v>27</v>
      </c>
      <c r="B46" s="32">
        <f>B43-B44-B45</f>
        <v>7510000</v>
      </c>
      <c r="C46" s="21"/>
    </row>
    <row r="48" spans="1:3" x14ac:dyDescent="0.35">
      <c r="A48" s="20" t="s">
        <v>39</v>
      </c>
      <c r="B48" s="49">
        <f>B34+B44+B45</f>
        <v>61967355</v>
      </c>
    </row>
  </sheetData>
  <mergeCells count="4">
    <mergeCell ref="A2:C2"/>
    <mergeCell ref="A3:C3"/>
    <mergeCell ref="A26:C26"/>
    <mergeCell ref="A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B11" sqref="B11"/>
    </sheetView>
  </sheetViews>
  <sheetFormatPr defaultRowHeight="14.5" x14ac:dyDescent="0.35"/>
  <cols>
    <col min="1" max="1" width="21.7265625" bestFit="1" customWidth="1"/>
    <col min="2" max="2" width="9.26953125" bestFit="1" customWidth="1"/>
    <col min="3" max="3" width="11.453125" bestFit="1" customWidth="1"/>
    <col min="4" max="4" width="13.54296875" bestFit="1" customWidth="1"/>
    <col min="5" max="5" width="11.81640625" bestFit="1" customWidth="1"/>
  </cols>
  <sheetData>
    <row r="1" spans="1:7" x14ac:dyDescent="0.35">
      <c r="A1" s="66" t="s">
        <v>102</v>
      </c>
      <c r="B1" s="66"/>
      <c r="C1" s="66"/>
      <c r="D1" s="66"/>
      <c r="E1" s="66"/>
      <c r="F1" s="66"/>
      <c r="G1" s="66"/>
    </row>
    <row r="2" spans="1:7" x14ac:dyDescent="0.35">
      <c r="A2" s="66"/>
      <c r="B2" s="66"/>
      <c r="C2" s="66"/>
      <c r="D2" s="66"/>
      <c r="E2" s="66"/>
      <c r="F2" s="66"/>
      <c r="G2" s="66"/>
    </row>
    <row r="3" spans="1:7" x14ac:dyDescent="0.35">
      <c r="A3" s="67"/>
      <c r="B3" s="67" t="s">
        <v>103</v>
      </c>
      <c r="C3" s="67" t="s">
        <v>55</v>
      </c>
      <c r="D3" s="67" t="s">
        <v>36</v>
      </c>
      <c r="E3" s="67" t="s">
        <v>37</v>
      </c>
      <c r="F3" s="66"/>
      <c r="G3" s="66"/>
    </row>
    <row r="4" spans="1:7" x14ac:dyDescent="0.35">
      <c r="A4" s="67" t="s">
        <v>38</v>
      </c>
      <c r="B4" s="68">
        <v>77000</v>
      </c>
      <c r="C4" s="68">
        <v>87000</v>
      </c>
      <c r="D4" s="68">
        <f>B4+(C4*11)</f>
        <v>1034000</v>
      </c>
      <c r="E4" s="68">
        <f>D4*0.9*0.13</f>
        <v>120978</v>
      </c>
      <c r="F4" s="66"/>
      <c r="G4" s="66"/>
    </row>
    <row r="5" spans="1:7" x14ac:dyDescent="0.35">
      <c r="A5" s="67"/>
      <c r="B5" s="68"/>
      <c r="C5" s="68"/>
      <c r="D5" s="68"/>
      <c r="E5" s="68"/>
      <c r="F5" s="66"/>
      <c r="G5" s="66"/>
    </row>
    <row r="6" spans="1:7" x14ac:dyDescent="0.35">
      <c r="A6" s="67"/>
      <c r="B6" s="67" t="s">
        <v>81</v>
      </c>
      <c r="C6" s="67" t="s">
        <v>104</v>
      </c>
      <c r="D6" s="67" t="s">
        <v>36</v>
      </c>
      <c r="E6" s="67" t="s">
        <v>37</v>
      </c>
      <c r="F6" s="66"/>
      <c r="G6" s="66"/>
    </row>
    <row r="7" spans="1:7" x14ac:dyDescent="0.35">
      <c r="A7" s="67" t="s">
        <v>38</v>
      </c>
      <c r="B7" s="68">
        <v>87000</v>
      </c>
      <c r="C7" s="68">
        <v>95700</v>
      </c>
      <c r="D7" s="68">
        <f>B7+(C7*11)</f>
        <v>1139700</v>
      </c>
      <c r="E7" s="68">
        <f>D7*0.9*0.13</f>
        <v>133344.9</v>
      </c>
      <c r="F7" s="66"/>
      <c r="G7" s="66"/>
    </row>
    <row r="8" spans="1:7" x14ac:dyDescent="0.35">
      <c r="A8" s="66"/>
      <c r="B8" s="66"/>
      <c r="C8" s="66"/>
      <c r="D8" s="66"/>
      <c r="E8" s="66"/>
      <c r="F8" s="66"/>
      <c r="G8" s="66"/>
    </row>
    <row r="9" spans="1:7" x14ac:dyDescent="0.35">
      <c r="A9" s="66"/>
      <c r="B9" s="66" t="s">
        <v>100</v>
      </c>
      <c r="C9" s="66" t="s">
        <v>101</v>
      </c>
      <c r="D9" s="66"/>
      <c r="E9" s="66"/>
      <c r="F9" s="66"/>
      <c r="G9" s="66"/>
    </row>
    <row r="10" spans="1:7" x14ac:dyDescent="0.35">
      <c r="A10" s="64" t="s">
        <v>20</v>
      </c>
      <c r="B10" s="65">
        <v>35383</v>
      </c>
      <c r="C10" s="69">
        <v>37381</v>
      </c>
      <c r="D10" s="66"/>
      <c r="E10" s="66"/>
      <c r="F10" s="66"/>
      <c r="G10" s="66"/>
    </row>
    <row r="11" spans="1:7" x14ac:dyDescent="0.35">
      <c r="A11" s="67" t="s">
        <v>105</v>
      </c>
      <c r="B11" s="68">
        <f>(D4+E4)/B10</f>
        <v>32.642172794844981</v>
      </c>
      <c r="C11" s="68">
        <f>(D7+E7)/C10</f>
        <v>34.055934833204034</v>
      </c>
      <c r="D11" s="66"/>
      <c r="E11" s="66"/>
      <c r="F11" s="66"/>
      <c r="G11" s="66"/>
    </row>
    <row r="12" spans="1:7" x14ac:dyDescent="0.35">
      <c r="A12" s="66"/>
      <c r="B12" s="66"/>
      <c r="C12" s="66"/>
      <c r="D12" s="66"/>
      <c r="E12" s="66"/>
      <c r="F12" s="66"/>
      <c r="G12" s="66"/>
    </row>
    <row r="13" spans="1:7" x14ac:dyDescent="0.35">
      <c r="A13" s="66"/>
      <c r="B13" s="66"/>
      <c r="C13" s="66"/>
      <c r="D13" s="66"/>
      <c r="E13" s="66"/>
      <c r="F13" s="66"/>
      <c r="G13" s="66"/>
    </row>
    <row r="14" spans="1:7" x14ac:dyDescent="0.35">
      <c r="A14" s="66"/>
      <c r="B14" s="66"/>
      <c r="C14" s="66"/>
      <c r="D14" s="66"/>
      <c r="E14" s="66"/>
      <c r="F14" s="66"/>
      <c r="G14" s="66"/>
    </row>
    <row r="15" spans="1:7" x14ac:dyDescent="0.35">
      <c r="A15" s="66"/>
      <c r="B15" s="66"/>
      <c r="C15" s="66"/>
      <c r="D15" s="66"/>
      <c r="E15" s="66"/>
      <c r="F15" s="66"/>
      <c r="G15" s="66"/>
    </row>
    <row r="16" spans="1:7" x14ac:dyDescent="0.35">
      <c r="A16" s="66"/>
      <c r="B16" s="66"/>
      <c r="C16" s="66"/>
      <c r="D16" s="66"/>
      <c r="E16" s="66"/>
      <c r="F16" s="66"/>
      <c r="G16" s="66"/>
    </row>
    <row r="17" spans="1:7" x14ac:dyDescent="0.35">
      <c r="A17" s="66"/>
      <c r="B17" s="66"/>
      <c r="C17" s="66"/>
      <c r="D17" s="66"/>
      <c r="E17" s="66"/>
      <c r="F17" s="66"/>
      <c r="G17" s="66"/>
    </row>
    <row r="18" spans="1:7" x14ac:dyDescent="0.35">
      <c r="A18" s="66"/>
      <c r="B18" s="66"/>
      <c r="C18" s="66"/>
      <c r="D18" s="66"/>
      <c r="E18" s="66"/>
      <c r="F18" s="66"/>
      <c r="G18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"/>
  <sheetViews>
    <sheetView topLeftCell="A28" workbookViewId="0">
      <selection activeCell="E19" sqref="E19"/>
    </sheetView>
  </sheetViews>
  <sheetFormatPr defaultRowHeight="14.5" x14ac:dyDescent="0.35"/>
  <cols>
    <col min="1" max="1" width="36.1796875" customWidth="1"/>
    <col min="2" max="2" width="9.26953125" bestFit="1" customWidth="1"/>
    <col min="3" max="3" width="12.26953125" bestFit="1" customWidth="1"/>
    <col min="4" max="4" width="11.81640625" bestFit="1" customWidth="1"/>
    <col min="5" max="5" width="12.26953125" bestFit="1" customWidth="1"/>
    <col min="6" max="6" width="10.7265625" bestFit="1" customWidth="1"/>
    <col min="9" max="9" width="9.81640625" customWidth="1"/>
  </cols>
  <sheetData>
    <row r="2" spans="1:6" ht="15.5" x14ac:dyDescent="0.35">
      <c r="A2" s="77" t="s">
        <v>28</v>
      </c>
      <c r="B2" s="77"/>
      <c r="C2" s="77"/>
      <c r="D2" s="77"/>
      <c r="E2" s="77"/>
      <c r="F2" s="77"/>
    </row>
    <row r="3" spans="1:6" ht="15.5" x14ac:dyDescent="0.35">
      <c r="A3" s="77" t="s">
        <v>79</v>
      </c>
      <c r="B3" s="77"/>
      <c r="C3" s="77"/>
      <c r="D3" s="77"/>
      <c r="E3" s="77"/>
      <c r="F3" s="77"/>
    </row>
    <row r="4" spans="1:6" x14ac:dyDescent="0.35">
      <c r="A4" s="22"/>
      <c r="B4" s="22"/>
      <c r="C4" s="22"/>
      <c r="D4" s="22"/>
      <c r="E4" s="22"/>
      <c r="F4" s="22"/>
    </row>
    <row r="5" spans="1:6" x14ac:dyDescent="0.35">
      <c r="A5" t="s">
        <v>29</v>
      </c>
      <c r="C5" t="s">
        <v>84</v>
      </c>
    </row>
    <row r="6" spans="1:6" x14ac:dyDescent="0.35">
      <c r="A6" t="s">
        <v>85</v>
      </c>
    </row>
    <row r="7" spans="1:6" x14ac:dyDescent="0.35">
      <c r="D7" s="78" t="s">
        <v>57</v>
      </c>
      <c r="E7" s="78"/>
    </row>
    <row r="8" spans="1:6" ht="43.5" x14ac:dyDescent="0.35">
      <c r="A8" s="23" t="s">
        <v>30</v>
      </c>
      <c r="C8" s="34" t="s">
        <v>48</v>
      </c>
      <c r="D8" s="46" t="s">
        <v>87</v>
      </c>
      <c r="E8" s="46" t="s">
        <v>86</v>
      </c>
    </row>
    <row r="9" spans="1:6" x14ac:dyDescent="0.35">
      <c r="A9" t="s">
        <v>31</v>
      </c>
      <c r="C9" s="35">
        <v>430</v>
      </c>
      <c r="D9" s="35">
        <v>430</v>
      </c>
      <c r="E9" s="35">
        <v>480</v>
      </c>
    </row>
    <row r="10" spans="1:6" x14ac:dyDescent="0.35">
      <c r="A10" t="s">
        <v>99</v>
      </c>
      <c r="C10" s="35">
        <v>748</v>
      </c>
      <c r="D10" s="35">
        <f>950+33</f>
        <v>983</v>
      </c>
      <c r="E10" s="35">
        <f>1020+34</f>
        <v>1054</v>
      </c>
    </row>
    <row r="11" spans="1:6" x14ac:dyDescent="0.35">
      <c r="A11" s="24" t="s">
        <v>32</v>
      </c>
      <c r="B11" s="24"/>
      <c r="C11" s="36">
        <f>(C9+C10)*0.27</f>
        <v>318.06</v>
      </c>
      <c r="D11" s="44">
        <f>(D9+D10)*0.27</f>
        <v>381.51000000000005</v>
      </c>
      <c r="E11" s="44">
        <f>(E9+E10)*0.27</f>
        <v>414.18</v>
      </c>
    </row>
    <row r="12" spans="1:6" x14ac:dyDescent="0.35">
      <c r="A12" s="23" t="s">
        <v>33</v>
      </c>
      <c r="B12" s="23"/>
      <c r="C12" s="37">
        <f>SUM(C9:C11)</f>
        <v>1496.06</v>
      </c>
      <c r="D12" s="43">
        <f>SUM(D9:D11)</f>
        <v>1794.51</v>
      </c>
      <c r="E12" s="43">
        <f>SUM(E9:E11)</f>
        <v>1948.18</v>
      </c>
    </row>
    <row r="14" spans="1:6" x14ac:dyDescent="0.35">
      <c r="A14" t="s">
        <v>34</v>
      </c>
    </row>
    <row r="16" spans="1:6" ht="72.5" x14ac:dyDescent="0.35">
      <c r="C16" s="34" t="s">
        <v>48</v>
      </c>
      <c r="D16" s="46" t="s">
        <v>90</v>
      </c>
      <c r="E16" s="46" t="s">
        <v>91</v>
      </c>
    </row>
    <row r="17" spans="1:6" x14ac:dyDescent="0.35">
      <c r="A17" t="s">
        <v>35</v>
      </c>
      <c r="C17" s="41">
        <v>1178</v>
      </c>
      <c r="D17" s="35">
        <f>E9+D10</f>
        <v>1463</v>
      </c>
      <c r="E17" s="35">
        <f>E9+E10</f>
        <v>1534</v>
      </c>
    </row>
    <row r="18" spans="1:6" x14ac:dyDescent="0.35">
      <c r="A18" s="24" t="s">
        <v>29</v>
      </c>
      <c r="B18" s="24"/>
      <c r="C18" s="36">
        <v>-339</v>
      </c>
      <c r="D18" s="42">
        <v>-380</v>
      </c>
      <c r="E18" s="42">
        <v>-380</v>
      </c>
    </row>
    <row r="19" spans="1:6" x14ac:dyDescent="0.35">
      <c r="A19" s="23" t="s">
        <v>46</v>
      </c>
      <c r="B19" s="23"/>
      <c r="C19" s="37">
        <f>SUM(C17:C18)</f>
        <v>839</v>
      </c>
      <c r="D19" s="43">
        <f>SUM(D17:D18)</f>
        <v>1083</v>
      </c>
      <c r="E19" s="43">
        <f>SUM(E17:E18)</f>
        <v>1154</v>
      </c>
    </row>
    <row r="20" spans="1:6" x14ac:dyDescent="0.35">
      <c r="B20" t="s">
        <v>43</v>
      </c>
      <c r="C20" s="35">
        <v>840</v>
      </c>
      <c r="D20" s="35">
        <v>1080</v>
      </c>
      <c r="E20" s="35">
        <v>1150</v>
      </c>
    </row>
    <row r="21" spans="1:6" x14ac:dyDescent="0.35">
      <c r="A21" t="s">
        <v>45</v>
      </c>
      <c r="C21" s="35">
        <f>C20*1.27</f>
        <v>1066.8</v>
      </c>
      <c r="D21" s="35">
        <f>D20*1.27</f>
        <v>1371.6</v>
      </c>
      <c r="E21" s="35">
        <f>E20*1.27</f>
        <v>1460.5</v>
      </c>
    </row>
    <row r="29" spans="1:6" ht="15.5" x14ac:dyDescent="0.35">
      <c r="A29" s="77" t="s">
        <v>80</v>
      </c>
      <c r="B29" s="77"/>
      <c r="C29" s="77"/>
      <c r="D29" s="77"/>
      <c r="E29" s="77"/>
      <c r="F29" s="77"/>
    </row>
    <row r="32" spans="1:6" x14ac:dyDescent="0.35">
      <c r="A32" s="1"/>
      <c r="B32" s="45" t="s">
        <v>81</v>
      </c>
      <c r="C32" s="45" t="s">
        <v>55</v>
      </c>
      <c r="D32" s="26" t="s">
        <v>36</v>
      </c>
      <c r="E32" s="26" t="s">
        <v>37</v>
      </c>
    </row>
    <row r="33" spans="1:6" x14ac:dyDescent="0.35">
      <c r="A33" s="27" t="s">
        <v>49</v>
      </c>
      <c r="B33" s="28">
        <f>430000/8*1.5</f>
        <v>80625</v>
      </c>
      <c r="C33" s="28">
        <f>473000/8*1.5</f>
        <v>88687.5</v>
      </c>
      <c r="D33" s="28">
        <f>B33+C33*11</f>
        <v>1056187.5</v>
      </c>
      <c r="E33" s="28">
        <f>B33*0.13+C33*11*0.13</f>
        <v>137304.375</v>
      </c>
    </row>
    <row r="34" spans="1:6" x14ac:dyDescent="0.35">
      <c r="A34" s="27" t="s">
        <v>39</v>
      </c>
      <c r="B34" s="28"/>
      <c r="C34" s="28"/>
      <c r="D34" s="28"/>
      <c r="E34" s="29">
        <f>D33+E33</f>
        <v>1193491.875</v>
      </c>
    </row>
    <row r="35" spans="1:6" x14ac:dyDescent="0.35">
      <c r="E35" s="30"/>
      <c r="F35" s="31"/>
    </row>
    <row r="36" spans="1:6" x14ac:dyDescent="0.35">
      <c r="A36" t="s">
        <v>82</v>
      </c>
    </row>
    <row r="38" spans="1:6" x14ac:dyDescent="0.35">
      <c r="A38" s="71" t="s">
        <v>83</v>
      </c>
      <c r="E38">
        <f>20*249</f>
        <v>4980</v>
      </c>
      <c r="F38" t="s">
        <v>40</v>
      </c>
    </row>
    <row r="40" spans="1:6" x14ac:dyDescent="0.35">
      <c r="B40" t="s">
        <v>41</v>
      </c>
      <c r="E40" s="70">
        <f>E34/E38</f>
        <v>239.65700301204819</v>
      </c>
    </row>
    <row r="41" spans="1:6" x14ac:dyDescent="0.35">
      <c r="B41" s="24" t="s">
        <v>32</v>
      </c>
      <c r="E41" s="25">
        <f>E40*0.27</f>
        <v>64.707390813253014</v>
      </c>
    </row>
    <row r="42" spans="1:6" x14ac:dyDescent="0.35">
      <c r="B42" s="23" t="s">
        <v>42</v>
      </c>
      <c r="C42" s="23"/>
      <c r="D42" s="23"/>
      <c r="E42" s="38">
        <f>E40+E41</f>
        <v>304.36439382530119</v>
      </c>
    </row>
    <row r="44" spans="1:6" x14ac:dyDescent="0.35">
      <c r="A44" t="s">
        <v>56</v>
      </c>
    </row>
  </sheetData>
  <mergeCells count="4">
    <mergeCell ref="A2:F2"/>
    <mergeCell ref="A3:F3"/>
    <mergeCell ref="A29:F29"/>
    <mergeCell ref="D7:E7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opLeftCell="A28" workbookViewId="0">
      <selection activeCell="R43" sqref="R42:R43"/>
    </sheetView>
  </sheetViews>
  <sheetFormatPr defaultRowHeight="14.5" x14ac:dyDescent="0.35"/>
  <cols>
    <col min="1" max="1" width="12.1796875" customWidth="1"/>
    <col min="2" max="2" width="35.81640625" bestFit="1" customWidth="1"/>
    <col min="7" max="7" width="9.54296875" bestFit="1" customWidth="1"/>
    <col min="10" max="10" width="9.7265625" customWidth="1"/>
    <col min="14" max="14" width="10.54296875" customWidth="1"/>
  </cols>
  <sheetData>
    <row r="2" spans="1:15" x14ac:dyDescent="0.35">
      <c r="A2" s="34" t="s">
        <v>65</v>
      </c>
      <c r="B2" s="34"/>
      <c r="C2" s="34" t="s">
        <v>58</v>
      </c>
      <c r="D2" s="34" t="s">
        <v>59</v>
      </c>
      <c r="E2" s="34" t="s">
        <v>60</v>
      </c>
      <c r="F2" s="34" t="s">
        <v>61</v>
      </c>
      <c r="G2" s="34" t="s">
        <v>42</v>
      </c>
      <c r="H2" s="34" t="s">
        <v>58</v>
      </c>
      <c r="I2" s="34" t="s">
        <v>59</v>
      </c>
      <c r="J2" s="34" t="s">
        <v>60</v>
      </c>
      <c r="K2" s="34" t="s">
        <v>61</v>
      </c>
      <c r="L2" s="34" t="s">
        <v>42</v>
      </c>
      <c r="N2" s="34" t="s">
        <v>97</v>
      </c>
    </row>
    <row r="3" spans="1:15" x14ac:dyDescent="0.35">
      <c r="A3" s="79" t="s">
        <v>64</v>
      </c>
      <c r="B3" s="1" t="s">
        <v>62</v>
      </c>
      <c r="C3" s="47">
        <v>180420</v>
      </c>
      <c r="D3" s="47">
        <v>449780</v>
      </c>
      <c r="E3" s="47">
        <f>266760+371280</f>
        <v>638040</v>
      </c>
      <c r="F3" s="47">
        <v>272190</v>
      </c>
      <c r="G3" s="47">
        <f>SUM(C3:F3)</f>
        <v>1540430</v>
      </c>
      <c r="H3" s="1"/>
      <c r="I3" s="1"/>
      <c r="J3" s="1"/>
      <c r="K3" s="1"/>
      <c r="L3" s="1"/>
      <c r="N3" s="47">
        <v>266760</v>
      </c>
    </row>
    <row r="4" spans="1:15" x14ac:dyDescent="0.35">
      <c r="A4" s="79"/>
      <c r="B4" s="1" t="s">
        <v>63</v>
      </c>
      <c r="C4" s="47">
        <v>156685</v>
      </c>
      <c r="D4" s="47">
        <v>528053</v>
      </c>
      <c r="E4" s="47">
        <f>271835+391909</f>
        <v>663744</v>
      </c>
      <c r="F4" s="47">
        <v>289885</v>
      </c>
      <c r="G4" s="47">
        <f t="shared" ref="G4:G5" si="0">SUM(C4:F4)</f>
        <v>1638367</v>
      </c>
      <c r="H4" s="1"/>
      <c r="I4" s="1"/>
      <c r="J4" s="1"/>
      <c r="K4" s="1"/>
      <c r="L4" s="1"/>
      <c r="N4" s="47">
        <v>271835</v>
      </c>
    </row>
    <row r="5" spans="1:15" x14ac:dyDescent="0.35">
      <c r="A5" s="79"/>
      <c r="B5" s="1" t="s">
        <v>66</v>
      </c>
      <c r="C5" s="47">
        <f>C4-C3</f>
        <v>-23735</v>
      </c>
      <c r="D5" s="47">
        <f t="shared" ref="D5:F5" si="1">D4-D3</f>
        <v>78273</v>
      </c>
      <c r="E5" s="47">
        <f t="shared" si="1"/>
        <v>25704</v>
      </c>
      <c r="F5" s="47">
        <f t="shared" si="1"/>
        <v>17695</v>
      </c>
      <c r="G5" s="47">
        <f t="shared" si="0"/>
        <v>97937</v>
      </c>
      <c r="H5" s="48">
        <f>C4/C3</f>
        <v>0.86844584857554596</v>
      </c>
      <c r="I5" s="48">
        <f t="shared" ref="I5:L5" si="2">D4/D3</f>
        <v>1.1740250789274758</v>
      </c>
      <c r="J5" s="48">
        <f t="shared" si="2"/>
        <v>1.0402858754936994</v>
      </c>
      <c r="K5" s="48">
        <f t="shared" si="2"/>
        <v>1.0650097358462838</v>
      </c>
      <c r="L5" s="48">
        <f t="shared" si="2"/>
        <v>1.0635777023298689</v>
      </c>
      <c r="N5" s="47">
        <f t="shared" ref="N5" si="3">N4-N3</f>
        <v>5075</v>
      </c>
      <c r="O5" s="48">
        <f>N4/N3</f>
        <v>1.0190245913930125</v>
      </c>
    </row>
    <row r="6" spans="1:15" x14ac:dyDescent="0.35">
      <c r="A6" s="79" t="s">
        <v>67</v>
      </c>
      <c r="B6" s="1" t="s">
        <v>62</v>
      </c>
      <c r="C6" s="47">
        <v>200260</v>
      </c>
      <c r="D6" s="47">
        <v>379690</v>
      </c>
      <c r="E6" s="47">
        <f>281200+368480</f>
        <v>649680</v>
      </c>
      <c r="F6" s="47">
        <v>241660</v>
      </c>
      <c r="G6" s="47">
        <f>SUM(C6:F6)</f>
        <v>1471290</v>
      </c>
      <c r="H6" s="48"/>
      <c r="I6" s="48"/>
      <c r="J6" s="48"/>
      <c r="K6" s="48"/>
      <c r="L6" s="48"/>
      <c r="N6" s="47">
        <v>281200</v>
      </c>
      <c r="O6" s="48"/>
    </row>
    <row r="7" spans="1:15" x14ac:dyDescent="0.35">
      <c r="A7" s="79"/>
      <c r="B7" s="1" t="s">
        <v>63</v>
      </c>
      <c r="C7" s="47">
        <v>200754</v>
      </c>
      <c r="D7" s="47">
        <v>460931</v>
      </c>
      <c r="E7" s="47">
        <f>275881+391475</f>
        <v>667356</v>
      </c>
      <c r="F7" s="47">
        <v>247747</v>
      </c>
      <c r="G7" s="47">
        <f t="shared" ref="G7:G8" si="4">SUM(C7:F7)</f>
        <v>1576788</v>
      </c>
      <c r="H7" s="48"/>
      <c r="I7" s="48"/>
      <c r="J7" s="48"/>
      <c r="K7" s="48"/>
      <c r="L7" s="48"/>
      <c r="N7" s="47">
        <v>275881</v>
      </c>
      <c r="O7" s="48"/>
    </row>
    <row r="8" spans="1:15" x14ac:dyDescent="0.35">
      <c r="A8" s="79"/>
      <c r="B8" s="1" t="s">
        <v>66</v>
      </c>
      <c r="C8" s="47">
        <f>C7-C6</f>
        <v>494</v>
      </c>
      <c r="D8" s="47">
        <f t="shared" ref="D8" si="5">D7-D6</f>
        <v>81241</v>
      </c>
      <c r="E8" s="47">
        <f t="shared" ref="E8" si="6">E7-E6</f>
        <v>17676</v>
      </c>
      <c r="F8" s="47">
        <f t="shared" ref="F8" si="7">F7-F6</f>
        <v>6087</v>
      </c>
      <c r="G8" s="47">
        <f t="shared" si="4"/>
        <v>105498</v>
      </c>
      <c r="H8" s="48">
        <f t="shared" ref="H8:K8" si="8">C7/C6</f>
        <v>1.0024667931688804</v>
      </c>
      <c r="I8" s="48">
        <f t="shared" si="8"/>
        <v>1.2139666570096659</v>
      </c>
      <c r="J8" s="48">
        <f t="shared" si="8"/>
        <v>1.0272072404876247</v>
      </c>
      <c r="K8" s="48">
        <f t="shared" si="8"/>
        <v>1.0251882810560291</v>
      </c>
      <c r="L8" s="48">
        <f>G7/G6</f>
        <v>1.0717044226495116</v>
      </c>
      <c r="N8" s="47">
        <f t="shared" ref="N8" si="9">N7-N6</f>
        <v>-5319</v>
      </c>
      <c r="O8" s="48">
        <f t="shared" ref="O8:O41" si="10">N7/N6</f>
        <v>0.98108463726884776</v>
      </c>
    </row>
    <row r="9" spans="1:15" x14ac:dyDescent="0.35">
      <c r="A9" s="79" t="s">
        <v>68</v>
      </c>
      <c r="B9" s="1" t="s">
        <v>62</v>
      </c>
      <c r="C9" s="47">
        <v>174220</v>
      </c>
      <c r="D9" s="47">
        <v>421830</v>
      </c>
      <c r="E9" s="47">
        <f>305520+420000</f>
        <v>725520</v>
      </c>
      <c r="F9" s="47">
        <v>242090</v>
      </c>
      <c r="G9" s="47">
        <f>SUM(C9:F9)</f>
        <v>1563660</v>
      </c>
      <c r="H9" s="48"/>
      <c r="I9" s="48"/>
      <c r="J9" s="48"/>
      <c r="K9" s="48"/>
      <c r="L9" s="48"/>
      <c r="N9" s="47">
        <v>305520</v>
      </c>
      <c r="O9" s="48"/>
    </row>
    <row r="10" spans="1:15" x14ac:dyDescent="0.35">
      <c r="A10" s="79"/>
      <c r="B10" s="1" t="s">
        <v>63</v>
      </c>
      <c r="C10" s="47">
        <v>154141</v>
      </c>
      <c r="D10" s="47">
        <v>525869</v>
      </c>
      <c r="E10" s="47">
        <f>323514+460654</f>
        <v>784168</v>
      </c>
      <c r="F10" s="47">
        <v>266340</v>
      </c>
      <c r="G10" s="47">
        <f t="shared" ref="G10:G11" si="11">SUM(C10:F10)</f>
        <v>1730518</v>
      </c>
      <c r="H10" s="48"/>
      <c r="I10" s="48"/>
      <c r="J10" s="48"/>
      <c r="K10" s="48"/>
      <c r="L10" s="48"/>
      <c r="N10" s="47">
        <v>323514</v>
      </c>
      <c r="O10" s="48"/>
    </row>
    <row r="11" spans="1:15" x14ac:dyDescent="0.35">
      <c r="A11" s="79"/>
      <c r="B11" s="1" t="s">
        <v>66</v>
      </c>
      <c r="C11" s="47">
        <f>C10-C9</f>
        <v>-20079</v>
      </c>
      <c r="D11" s="47">
        <f t="shared" ref="D11" si="12">D10-D9</f>
        <v>104039</v>
      </c>
      <c r="E11" s="47">
        <f t="shared" ref="E11" si="13">E10-E9</f>
        <v>58648</v>
      </c>
      <c r="F11" s="47">
        <f t="shared" ref="F11" si="14">F10-F9</f>
        <v>24250</v>
      </c>
      <c r="G11" s="47">
        <f t="shared" si="11"/>
        <v>166858</v>
      </c>
      <c r="H11" s="48">
        <f t="shared" ref="H11:K11" si="15">C10/C9</f>
        <v>0.88474916771897605</v>
      </c>
      <c r="I11" s="48">
        <f t="shared" si="15"/>
        <v>1.2466372709385298</v>
      </c>
      <c r="J11" s="48">
        <f t="shared" si="15"/>
        <v>1.0808358143124932</v>
      </c>
      <c r="K11" s="48">
        <f t="shared" si="15"/>
        <v>1.1001693585030361</v>
      </c>
      <c r="L11" s="48">
        <f>G10/G9</f>
        <v>1.1067098985713006</v>
      </c>
      <c r="N11" s="47">
        <f t="shared" ref="N11" si="16">N10-N9</f>
        <v>17994</v>
      </c>
      <c r="O11" s="48">
        <f t="shared" si="10"/>
        <v>1.0588963079340141</v>
      </c>
    </row>
    <row r="12" spans="1:15" x14ac:dyDescent="0.35">
      <c r="A12" s="79" t="s">
        <v>69</v>
      </c>
      <c r="B12" s="1" t="s">
        <v>62</v>
      </c>
      <c r="C12" s="47">
        <v>192200</v>
      </c>
      <c r="D12" s="47">
        <v>420540</v>
      </c>
      <c r="E12" s="47">
        <f>224580+345520</f>
        <v>570100</v>
      </c>
      <c r="F12" s="47">
        <v>218440</v>
      </c>
      <c r="G12" s="47">
        <f>SUM(C12:F12)</f>
        <v>1401280</v>
      </c>
      <c r="H12" s="48"/>
      <c r="I12" s="48"/>
      <c r="J12" s="48"/>
      <c r="K12" s="48"/>
      <c r="L12" s="48"/>
      <c r="N12" s="47">
        <v>224580</v>
      </c>
      <c r="O12" s="48"/>
    </row>
    <row r="13" spans="1:15" x14ac:dyDescent="0.35">
      <c r="A13" s="79"/>
      <c r="B13" s="1" t="s">
        <v>63</v>
      </c>
      <c r="C13" s="47">
        <v>175072</v>
      </c>
      <c r="D13" s="47">
        <v>527831</v>
      </c>
      <c r="E13" s="47">
        <f>221614+363990</f>
        <v>585604</v>
      </c>
      <c r="F13" s="47">
        <v>233982</v>
      </c>
      <c r="G13" s="47">
        <f t="shared" ref="G13:G14" si="17">SUM(C13:F13)</f>
        <v>1522489</v>
      </c>
      <c r="H13" s="48"/>
      <c r="I13" s="48"/>
      <c r="J13" s="48"/>
      <c r="K13" s="48"/>
      <c r="L13" s="48"/>
      <c r="N13" s="47">
        <v>221614</v>
      </c>
      <c r="O13" s="48"/>
    </row>
    <row r="14" spans="1:15" x14ac:dyDescent="0.35">
      <c r="A14" s="79"/>
      <c r="B14" s="1" t="s">
        <v>66</v>
      </c>
      <c r="C14" s="47">
        <f>C13-C12</f>
        <v>-17128</v>
      </c>
      <c r="D14" s="47">
        <f t="shared" ref="D14" si="18">D13-D12</f>
        <v>107291</v>
      </c>
      <c r="E14" s="47">
        <f t="shared" ref="E14" si="19">E13-E12</f>
        <v>15504</v>
      </c>
      <c r="F14" s="47">
        <f t="shared" ref="F14" si="20">F13-F12</f>
        <v>15542</v>
      </c>
      <c r="G14" s="47">
        <f t="shared" si="17"/>
        <v>121209</v>
      </c>
      <c r="H14" s="48">
        <f t="shared" ref="H14:K14" si="21">C13/C12</f>
        <v>0.9108844953173777</v>
      </c>
      <c r="I14" s="48">
        <f t="shared" si="21"/>
        <v>1.2551267418081513</v>
      </c>
      <c r="J14" s="48">
        <f t="shared" si="21"/>
        <v>1.0271952289072093</v>
      </c>
      <c r="K14" s="48">
        <f t="shared" si="21"/>
        <v>1.0711499725325031</v>
      </c>
      <c r="L14" s="48">
        <f>G13/G12</f>
        <v>1.0864987725508106</v>
      </c>
      <c r="N14" s="47">
        <f t="shared" ref="N14" si="22">N13-N12</f>
        <v>-2966</v>
      </c>
      <c r="O14" s="48">
        <f t="shared" si="10"/>
        <v>0.98679312494434057</v>
      </c>
    </row>
    <row r="15" spans="1:15" x14ac:dyDescent="0.35">
      <c r="A15" s="79" t="s">
        <v>70</v>
      </c>
      <c r="B15" s="1" t="s">
        <v>62</v>
      </c>
      <c r="C15" s="47">
        <v>223200</v>
      </c>
      <c r="D15" s="47">
        <v>516430</v>
      </c>
      <c r="E15" s="47">
        <f>276640+434000</f>
        <v>710640</v>
      </c>
      <c r="F15" s="47">
        <v>218870</v>
      </c>
      <c r="G15" s="47">
        <f>SUM(C15:F15)</f>
        <v>1669140</v>
      </c>
      <c r="H15" s="48"/>
      <c r="I15" s="48"/>
      <c r="J15" s="48"/>
      <c r="K15" s="48"/>
      <c r="L15" s="48"/>
      <c r="N15" s="47">
        <v>276640</v>
      </c>
      <c r="O15" s="48"/>
    </row>
    <row r="16" spans="1:15" x14ac:dyDescent="0.35">
      <c r="A16" s="79"/>
      <c r="B16" s="1" t="s">
        <v>63</v>
      </c>
      <c r="C16" s="47">
        <v>199498</v>
      </c>
      <c r="D16" s="47">
        <v>653557</v>
      </c>
      <c r="E16" s="47">
        <f>293214+477511</f>
        <v>770725</v>
      </c>
      <c r="F16" s="47">
        <v>244693</v>
      </c>
      <c r="G16" s="47">
        <f t="shared" ref="G16:G17" si="23">SUM(C16:F16)</f>
        <v>1868473</v>
      </c>
      <c r="H16" s="48"/>
      <c r="I16" s="48"/>
      <c r="J16" s="48"/>
      <c r="K16" s="48"/>
      <c r="L16" s="48"/>
      <c r="N16" s="47">
        <v>293214</v>
      </c>
      <c r="O16" s="48"/>
    </row>
    <row r="17" spans="1:15" x14ac:dyDescent="0.35">
      <c r="A17" s="79"/>
      <c r="B17" s="1" t="s">
        <v>66</v>
      </c>
      <c r="C17" s="47">
        <f>C16-C15</f>
        <v>-23702</v>
      </c>
      <c r="D17" s="47">
        <f t="shared" ref="D17" si="24">D16-D15</f>
        <v>137127</v>
      </c>
      <c r="E17" s="47">
        <f t="shared" ref="E17" si="25">E16-E15</f>
        <v>60085</v>
      </c>
      <c r="F17" s="47">
        <f t="shared" ref="F17" si="26">F16-F15</f>
        <v>25823</v>
      </c>
      <c r="G17" s="47">
        <f t="shared" si="23"/>
        <v>199333</v>
      </c>
      <c r="H17" s="48">
        <f t="shared" ref="H17:K17" si="27">C16/C15</f>
        <v>0.89380824372759859</v>
      </c>
      <c r="I17" s="48">
        <f t="shared" si="27"/>
        <v>1.2655287260616153</v>
      </c>
      <c r="J17" s="48">
        <f t="shared" si="27"/>
        <v>1.0845505459867162</v>
      </c>
      <c r="K17" s="48">
        <f t="shared" si="27"/>
        <v>1.11798327774478</v>
      </c>
      <c r="L17" s="48">
        <f>G16/G15</f>
        <v>1.1194225768958865</v>
      </c>
      <c r="N17" s="47">
        <f t="shared" ref="N17" si="28">N16-N15</f>
        <v>16574</v>
      </c>
      <c r="O17" s="48">
        <f t="shared" si="10"/>
        <v>1.0599117987275881</v>
      </c>
    </row>
    <row r="18" spans="1:15" x14ac:dyDescent="0.35">
      <c r="A18" s="79" t="s">
        <v>71</v>
      </c>
      <c r="B18" s="1" t="s">
        <v>62</v>
      </c>
      <c r="C18" s="47">
        <v>225060</v>
      </c>
      <c r="D18" s="47">
        <v>408930</v>
      </c>
      <c r="E18" s="47">
        <f>192660+315280</f>
        <v>507940</v>
      </c>
      <c r="F18" s="47">
        <v>212850</v>
      </c>
      <c r="G18" s="47">
        <f>SUM(C18:F18)</f>
        <v>1354780</v>
      </c>
      <c r="H18" s="48"/>
      <c r="I18" s="48"/>
      <c r="J18" s="48"/>
      <c r="K18" s="48"/>
      <c r="L18" s="48"/>
      <c r="N18" s="47">
        <v>192660</v>
      </c>
      <c r="O18" s="48">
        <f t="shared" si="10"/>
        <v>5.6525268234122517E-2</v>
      </c>
    </row>
    <row r="19" spans="1:15" x14ac:dyDescent="0.35">
      <c r="A19" s="79"/>
      <c r="B19" s="1" t="s">
        <v>63</v>
      </c>
      <c r="C19" s="47">
        <v>195103</v>
      </c>
      <c r="D19" s="47">
        <v>494899</v>
      </c>
      <c r="E19" s="47">
        <f>198430+337126</f>
        <v>535556</v>
      </c>
      <c r="F19" s="47">
        <v>221569</v>
      </c>
      <c r="G19" s="47">
        <f t="shared" ref="G19:G20" si="29">SUM(C19:F19)</f>
        <v>1447127</v>
      </c>
      <c r="H19" s="48"/>
      <c r="I19" s="48"/>
      <c r="J19" s="48"/>
      <c r="K19" s="48"/>
      <c r="L19" s="48"/>
      <c r="N19" s="47">
        <v>198430</v>
      </c>
      <c r="O19" s="48"/>
    </row>
    <row r="20" spans="1:15" x14ac:dyDescent="0.35">
      <c r="A20" s="79"/>
      <c r="B20" s="1" t="s">
        <v>66</v>
      </c>
      <c r="C20" s="47">
        <f>C19-C18</f>
        <v>-29957</v>
      </c>
      <c r="D20" s="47">
        <f t="shared" ref="D20" si="30">D19-D18</f>
        <v>85969</v>
      </c>
      <c r="E20" s="47">
        <f t="shared" ref="E20" si="31">E19-E18</f>
        <v>27616</v>
      </c>
      <c r="F20" s="47">
        <f t="shared" ref="F20" si="32">F19-F18</f>
        <v>8719</v>
      </c>
      <c r="G20" s="47">
        <f t="shared" si="29"/>
        <v>92347</v>
      </c>
      <c r="H20" s="48">
        <f t="shared" ref="H20:K20" si="33">C19/C18</f>
        <v>0.86689327290500306</v>
      </c>
      <c r="I20" s="48">
        <f t="shared" si="33"/>
        <v>1.210229134570709</v>
      </c>
      <c r="J20" s="48">
        <f t="shared" si="33"/>
        <v>1.0543686262156948</v>
      </c>
      <c r="K20" s="48">
        <f t="shared" si="33"/>
        <v>1.0409631195677707</v>
      </c>
      <c r="L20" s="48">
        <f>G19/G18</f>
        <v>1.068163834718552</v>
      </c>
      <c r="N20" s="47">
        <f t="shared" ref="N20" si="34">N19-N18</f>
        <v>5770</v>
      </c>
      <c r="O20" s="48"/>
    </row>
    <row r="21" spans="1:15" x14ac:dyDescent="0.35">
      <c r="A21" s="79" t="s">
        <v>72</v>
      </c>
      <c r="B21" s="1" t="s">
        <v>62</v>
      </c>
      <c r="C21" s="47">
        <v>249980</v>
      </c>
      <c r="D21" s="47">
        <v>189630</v>
      </c>
      <c r="E21" s="47"/>
      <c r="F21" s="47">
        <v>233490</v>
      </c>
      <c r="G21" s="47">
        <f>SUM(C21:F21)</f>
        <v>673100</v>
      </c>
      <c r="H21" s="48"/>
      <c r="I21" s="48"/>
      <c r="J21" s="48"/>
      <c r="K21" s="48"/>
      <c r="L21" s="48"/>
      <c r="N21" s="47"/>
      <c r="O21" s="48">
        <f t="shared" si="10"/>
        <v>2.9078264375346469E-2</v>
      </c>
    </row>
    <row r="22" spans="1:15" x14ac:dyDescent="0.35">
      <c r="A22" s="79"/>
      <c r="B22" s="1" t="s">
        <v>63</v>
      </c>
      <c r="C22" s="47">
        <v>239857</v>
      </c>
      <c r="D22" s="47">
        <v>272541</v>
      </c>
      <c r="E22" s="47"/>
      <c r="F22" s="47">
        <v>287216</v>
      </c>
      <c r="G22" s="47">
        <f t="shared" ref="G22:G23" si="35">SUM(C22:F22)</f>
        <v>799614</v>
      </c>
      <c r="H22" s="48"/>
      <c r="I22" s="48"/>
      <c r="J22" s="48"/>
      <c r="K22" s="48"/>
      <c r="L22" s="48"/>
      <c r="N22" s="47"/>
      <c r="O22" s="48"/>
    </row>
    <row r="23" spans="1:15" x14ac:dyDescent="0.35">
      <c r="A23" s="79"/>
      <c r="B23" s="1" t="s">
        <v>66</v>
      </c>
      <c r="C23" s="47">
        <f>C22-C21</f>
        <v>-10123</v>
      </c>
      <c r="D23" s="47">
        <f t="shared" ref="D23" si="36">D22-D21</f>
        <v>82911</v>
      </c>
      <c r="E23" s="47">
        <f t="shared" ref="E23" si="37">E22-E21</f>
        <v>0</v>
      </c>
      <c r="F23" s="47">
        <f t="shared" ref="F23" si="38">F22-F21</f>
        <v>53726</v>
      </c>
      <c r="G23" s="47">
        <f t="shared" si="35"/>
        <v>126514</v>
      </c>
      <c r="H23" s="48">
        <f t="shared" ref="H23:K23" si="39">C22/C21</f>
        <v>0.95950476038083043</v>
      </c>
      <c r="I23" s="48">
        <f t="shared" si="39"/>
        <v>1.4372251226071824</v>
      </c>
      <c r="J23" s="48">
        <v>0</v>
      </c>
      <c r="K23" s="48">
        <f t="shared" si="39"/>
        <v>1.2300997901409054</v>
      </c>
      <c r="L23" s="48">
        <f>G22/G21</f>
        <v>1.1879572128955578</v>
      </c>
      <c r="N23" s="47">
        <f t="shared" ref="N23" si="40">N22-N21</f>
        <v>0</v>
      </c>
      <c r="O23" s="48"/>
    </row>
    <row r="24" spans="1:15" x14ac:dyDescent="0.35">
      <c r="A24" s="79" t="s">
        <v>73</v>
      </c>
      <c r="B24" s="1" t="s">
        <v>62</v>
      </c>
      <c r="C24" s="47">
        <v>8060</v>
      </c>
      <c r="D24" s="47">
        <v>69660</v>
      </c>
      <c r="E24" s="47"/>
      <c r="F24" s="47">
        <v>155230</v>
      </c>
      <c r="G24" s="47">
        <f>SUM(C24:F24)</f>
        <v>232950</v>
      </c>
      <c r="H24" s="48"/>
      <c r="I24" s="48"/>
      <c r="J24" s="48"/>
      <c r="K24" s="48"/>
      <c r="L24" s="48"/>
      <c r="N24" s="47"/>
      <c r="O24" s="48"/>
    </row>
    <row r="25" spans="1:15" x14ac:dyDescent="0.35">
      <c r="A25" s="79"/>
      <c r="B25" s="1" t="s">
        <v>63</v>
      </c>
      <c r="C25" s="47">
        <v>7140</v>
      </c>
      <c r="D25" s="47">
        <v>95791</v>
      </c>
      <c r="E25" s="47"/>
      <c r="F25" s="47">
        <v>191083</v>
      </c>
      <c r="G25" s="47">
        <f t="shared" ref="G25:G26" si="41">SUM(C25:F25)</f>
        <v>294014</v>
      </c>
      <c r="H25" s="48"/>
      <c r="I25" s="48"/>
      <c r="J25" s="48"/>
      <c r="K25" s="48"/>
      <c r="L25" s="48"/>
      <c r="N25" s="47"/>
      <c r="O25" s="48"/>
    </row>
    <row r="26" spans="1:15" x14ac:dyDescent="0.35">
      <c r="A26" s="79"/>
      <c r="B26" s="1" t="s">
        <v>66</v>
      </c>
      <c r="C26" s="47">
        <f>C25-C24</f>
        <v>-920</v>
      </c>
      <c r="D26" s="47">
        <f t="shared" ref="D26" si="42">D25-D24</f>
        <v>26131</v>
      </c>
      <c r="E26" s="47">
        <f t="shared" ref="E26" si="43">E25-E24</f>
        <v>0</v>
      </c>
      <c r="F26" s="47">
        <f t="shared" ref="F26" si="44">F25-F24</f>
        <v>35853</v>
      </c>
      <c r="G26" s="47">
        <f t="shared" si="41"/>
        <v>61064</v>
      </c>
      <c r="H26" s="48">
        <f t="shared" ref="H26:K26" si="45">C25/C24</f>
        <v>0.88585607940446653</v>
      </c>
      <c r="I26" s="48">
        <f t="shared" si="45"/>
        <v>1.3751220212460522</v>
      </c>
      <c r="J26" s="48">
        <v>0</v>
      </c>
      <c r="K26" s="48">
        <f t="shared" si="45"/>
        <v>1.2309669522643818</v>
      </c>
      <c r="L26" s="48">
        <f>G25/G24</f>
        <v>1.2621335050440008</v>
      </c>
      <c r="N26" s="47">
        <f t="shared" ref="N26" si="46">N25-N24</f>
        <v>0</v>
      </c>
      <c r="O26" s="48"/>
    </row>
    <row r="27" spans="1:15" x14ac:dyDescent="0.35">
      <c r="A27" s="79" t="s">
        <v>77</v>
      </c>
      <c r="B27" s="1" t="s">
        <v>62</v>
      </c>
      <c r="C27" s="47">
        <v>148800</v>
      </c>
      <c r="D27" s="47">
        <v>635110</v>
      </c>
      <c r="E27" s="47">
        <f>315780+520800</f>
        <v>836580</v>
      </c>
      <c r="F27" s="47">
        <f>201240</f>
        <v>201240</v>
      </c>
      <c r="G27" s="47">
        <f>SUM(C27:F27)</f>
        <v>1821730</v>
      </c>
      <c r="H27" s="48"/>
      <c r="I27" s="48"/>
      <c r="J27" s="48"/>
      <c r="K27" s="48"/>
      <c r="L27" s="48"/>
      <c r="N27" s="47">
        <v>315780</v>
      </c>
      <c r="O27" s="48"/>
    </row>
    <row r="28" spans="1:15" x14ac:dyDescent="0.35">
      <c r="A28" s="79"/>
      <c r="B28" s="1" t="s">
        <v>63</v>
      </c>
      <c r="C28" s="47">
        <v>127233</v>
      </c>
      <c r="D28" s="47">
        <v>746367</v>
      </c>
      <c r="E28" s="47">
        <f>312051+524892</f>
        <v>836943</v>
      </c>
      <c r="F28" s="47">
        <v>210271</v>
      </c>
      <c r="G28" s="47">
        <f t="shared" ref="G28:G29" si="47">SUM(C28:F28)</f>
        <v>1920814</v>
      </c>
      <c r="H28" s="48"/>
      <c r="I28" s="48"/>
      <c r="J28" s="48"/>
      <c r="K28" s="48"/>
      <c r="L28" s="48"/>
      <c r="N28" s="47">
        <v>312051</v>
      </c>
      <c r="O28" s="48"/>
    </row>
    <row r="29" spans="1:15" x14ac:dyDescent="0.35">
      <c r="A29" s="79"/>
      <c r="B29" s="1" t="s">
        <v>66</v>
      </c>
      <c r="C29" s="47">
        <f>C28-C27</f>
        <v>-21567</v>
      </c>
      <c r="D29" s="47">
        <f t="shared" ref="D29" si="48">D28-D27</f>
        <v>111257</v>
      </c>
      <c r="E29" s="47">
        <f t="shared" ref="E29" si="49">E28-E27</f>
        <v>363</v>
      </c>
      <c r="F29" s="47">
        <f t="shared" ref="F29" si="50">F28-F27</f>
        <v>9031</v>
      </c>
      <c r="G29" s="47">
        <f t="shared" si="47"/>
        <v>99084</v>
      </c>
      <c r="H29" s="48">
        <f t="shared" ref="H29:K29" si="51">C28/C27</f>
        <v>0.85506048387096778</v>
      </c>
      <c r="I29" s="48">
        <f t="shared" si="51"/>
        <v>1.1751775283021839</v>
      </c>
      <c r="J29" s="48">
        <f t="shared" si="51"/>
        <v>1.0004339094886323</v>
      </c>
      <c r="K29" s="48">
        <f t="shared" si="51"/>
        <v>1.0448767640628105</v>
      </c>
      <c r="L29" s="48">
        <f>G28/G27</f>
        <v>1.054390057802199</v>
      </c>
      <c r="N29" s="47">
        <f t="shared" ref="N29" si="52">N28-N27</f>
        <v>-3729</v>
      </c>
      <c r="O29" s="48">
        <f t="shared" si="10"/>
        <v>0.98819114573437206</v>
      </c>
    </row>
    <row r="30" spans="1:15" x14ac:dyDescent="0.35">
      <c r="A30" s="79" t="s">
        <v>74</v>
      </c>
      <c r="B30" s="1" t="s">
        <v>62</v>
      </c>
      <c r="C30" s="47">
        <v>177320</v>
      </c>
      <c r="D30" s="47">
        <v>518580</v>
      </c>
      <c r="E30" s="47">
        <f>258780+393680</f>
        <v>652460</v>
      </c>
      <c r="F30" s="47">
        <v>210270</v>
      </c>
      <c r="G30" s="47">
        <f>SUM(C30:F30)</f>
        <v>1558630</v>
      </c>
      <c r="H30" s="48"/>
      <c r="I30" s="48"/>
      <c r="J30" s="48"/>
      <c r="K30" s="48"/>
      <c r="L30" s="48"/>
      <c r="N30" s="47">
        <v>258780</v>
      </c>
      <c r="O30" s="48"/>
    </row>
    <row r="31" spans="1:15" x14ac:dyDescent="0.35">
      <c r="A31" s="79"/>
      <c r="B31" s="1" t="s">
        <v>63</v>
      </c>
      <c r="C31" s="47">
        <v>159913</v>
      </c>
      <c r="D31" s="47">
        <v>599829</v>
      </c>
      <c r="E31" s="47">
        <f>255672+395553</f>
        <v>651225</v>
      </c>
      <c r="F31" s="47">
        <v>229574</v>
      </c>
      <c r="G31" s="47">
        <f t="shared" ref="G31:G32" si="53">SUM(C31:F31)</f>
        <v>1640541</v>
      </c>
      <c r="H31" s="48"/>
      <c r="I31" s="48"/>
      <c r="J31" s="48"/>
      <c r="K31" s="48"/>
      <c r="L31" s="48"/>
      <c r="N31" s="47">
        <v>255672</v>
      </c>
      <c r="O31" s="48"/>
    </row>
    <row r="32" spans="1:15" x14ac:dyDescent="0.35">
      <c r="A32" s="79"/>
      <c r="B32" s="1" t="s">
        <v>66</v>
      </c>
      <c r="C32" s="47">
        <f>C31-C30</f>
        <v>-17407</v>
      </c>
      <c r="D32" s="47">
        <f t="shared" ref="D32" si="54">D31-D30</f>
        <v>81249</v>
      </c>
      <c r="E32" s="47">
        <f t="shared" ref="E32" si="55">E31-E30</f>
        <v>-1235</v>
      </c>
      <c r="F32" s="47">
        <f t="shared" ref="F32" si="56">F31-F30</f>
        <v>19304</v>
      </c>
      <c r="G32" s="47">
        <f t="shared" si="53"/>
        <v>81911</v>
      </c>
      <c r="H32" s="48">
        <f t="shared" ref="H32:K32" si="57">C31/C30</f>
        <v>0.90183284457478008</v>
      </c>
      <c r="I32" s="48">
        <f t="shared" si="57"/>
        <v>1.1566759227120214</v>
      </c>
      <c r="J32" s="48">
        <f t="shared" si="57"/>
        <v>0.99810716365754226</v>
      </c>
      <c r="K32" s="48">
        <f t="shared" si="57"/>
        <v>1.0918057735292719</v>
      </c>
      <c r="L32" s="48">
        <f>G31/G30</f>
        <v>1.0525532037751102</v>
      </c>
      <c r="N32" s="47">
        <f t="shared" ref="N32" si="58">N31-N30</f>
        <v>-3108</v>
      </c>
      <c r="O32" s="48">
        <f t="shared" si="10"/>
        <v>0.98798979828425693</v>
      </c>
    </row>
    <row r="33" spans="1:15" x14ac:dyDescent="0.35">
      <c r="A33" s="79" t="s">
        <v>75</v>
      </c>
      <c r="B33" s="1" t="s">
        <v>62</v>
      </c>
      <c r="C33" s="47">
        <v>170500</v>
      </c>
      <c r="D33" s="47">
        <v>571470</v>
      </c>
      <c r="E33" s="47">
        <f>323760+460320</f>
        <v>784080</v>
      </c>
      <c r="F33" s="47">
        <f>187050</f>
        <v>187050</v>
      </c>
      <c r="G33" s="47">
        <f>SUM(C33:F33)</f>
        <v>1713100</v>
      </c>
      <c r="H33" s="48"/>
      <c r="I33" s="48"/>
      <c r="J33" s="48"/>
      <c r="K33" s="48"/>
      <c r="L33" s="48"/>
      <c r="N33" s="47">
        <v>323760</v>
      </c>
      <c r="O33" s="48"/>
    </row>
    <row r="34" spans="1:15" x14ac:dyDescent="0.35">
      <c r="A34" s="79"/>
      <c r="B34" s="1" t="s">
        <v>63</v>
      </c>
      <c r="C34" s="47">
        <v>161419</v>
      </c>
      <c r="D34" s="47">
        <v>695805</v>
      </c>
      <c r="E34" s="47">
        <f>330614+473778</f>
        <v>804392</v>
      </c>
      <c r="F34" s="47">
        <v>196544</v>
      </c>
      <c r="G34" s="47">
        <f t="shared" ref="G34:G35" si="59">SUM(C34:F34)</f>
        <v>1858160</v>
      </c>
      <c r="H34" s="48"/>
      <c r="I34" s="48"/>
      <c r="J34" s="48"/>
      <c r="K34" s="48"/>
      <c r="L34" s="48"/>
      <c r="N34" s="47">
        <v>330614</v>
      </c>
      <c r="O34" s="48"/>
    </row>
    <row r="35" spans="1:15" x14ac:dyDescent="0.35">
      <c r="A35" s="79"/>
      <c r="B35" s="1" t="s">
        <v>66</v>
      </c>
      <c r="C35" s="47">
        <f>C34-C33</f>
        <v>-9081</v>
      </c>
      <c r="D35" s="47">
        <f t="shared" ref="D35" si="60">D34-D33</f>
        <v>124335</v>
      </c>
      <c r="E35" s="47">
        <f t="shared" ref="E35" si="61">E34-E33</f>
        <v>20312</v>
      </c>
      <c r="F35" s="47">
        <f t="shared" ref="F35" si="62">F34-F33</f>
        <v>9494</v>
      </c>
      <c r="G35" s="47">
        <f t="shared" si="59"/>
        <v>145060</v>
      </c>
      <c r="H35" s="48">
        <f t="shared" ref="H35:K35" si="63">C34/C33</f>
        <v>0.94673900293255131</v>
      </c>
      <c r="I35" s="48">
        <f t="shared" si="63"/>
        <v>1.2175704761404798</v>
      </c>
      <c r="J35" s="48">
        <f t="shared" si="63"/>
        <v>1.0259055198449138</v>
      </c>
      <c r="K35" s="48">
        <f t="shared" si="63"/>
        <v>1.0507564822240043</v>
      </c>
      <c r="L35" s="48">
        <f>G34/G33</f>
        <v>1.0846769015235538</v>
      </c>
      <c r="N35" s="47">
        <f t="shared" ref="N35" si="64">N34-N33</f>
        <v>6854</v>
      </c>
      <c r="O35" s="48">
        <f t="shared" si="10"/>
        <v>1.0211700024709662</v>
      </c>
    </row>
    <row r="36" spans="1:15" x14ac:dyDescent="0.35">
      <c r="A36" s="79" t="s">
        <v>76</v>
      </c>
      <c r="B36" s="1" t="s">
        <v>62</v>
      </c>
      <c r="C36" s="47">
        <v>125240</v>
      </c>
      <c r="D36" s="47">
        <f>345290+1720</f>
        <v>347010</v>
      </c>
      <c r="E36" s="47">
        <f>204820+291760+3800+6160</f>
        <v>506540</v>
      </c>
      <c r="F36" s="47">
        <f>182750+8600</f>
        <v>191350</v>
      </c>
      <c r="G36" s="47">
        <f>SUM(C36:F36)</f>
        <v>1170140</v>
      </c>
      <c r="H36" s="48"/>
      <c r="I36" s="48"/>
      <c r="J36" s="48"/>
      <c r="K36" s="48"/>
      <c r="L36" s="48"/>
      <c r="N36" s="47">
        <f>204820+3800</f>
        <v>208620</v>
      </c>
      <c r="O36" s="48"/>
    </row>
    <row r="37" spans="1:15" x14ac:dyDescent="0.35">
      <c r="A37" s="79"/>
      <c r="B37" s="1" t="s">
        <v>63</v>
      </c>
      <c r="C37" s="47">
        <v>129312</v>
      </c>
      <c r="D37" s="47">
        <f>439673+1550</f>
        <v>441223</v>
      </c>
      <c r="E37" s="47">
        <f>221966+328489+4424+8470</f>
        <v>563349</v>
      </c>
      <c r="F37" s="47">
        <f>213777+10130</f>
        <v>223907</v>
      </c>
      <c r="G37" s="47">
        <f t="shared" ref="G37:G38" si="65">SUM(C37:F37)</f>
        <v>1357791</v>
      </c>
      <c r="H37" s="48"/>
      <c r="I37" s="48"/>
      <c r="J37" s="48"/>
      <c r="K37" s="48"/>
      <c r="L37" s="48"/>
      <c r="N37" s="47">
        <f>221966+4424</f>
        <v>226390</v>
      </c>
      <c r="O37" s="48"/>
    </row>
    <row r="38" spans="1:15" x14ac:dyDescent="0.35">
      <c r="A38" s="79"/>
      <c r="B38" s="1" t="s">
        <v>66</v>
      </c>
      <c r="C38" s="47">
        <f>C37-C36</f>
        <v>4072</v>
      </c>
      <c r="D38" s="47">
        <f t="shared" ref="D38" si="66">D37-D36</f>
        <v>94213</v>
      </c>
      <c r="E38" s="47">
        <f t="shared" ref="E38" si="67">E37-E36</f>
        <v>56809</v>
      </c>
      <c r="F38" s="47">
        <f t="shared" ref="F38" si="68">F37-F36</f>
        <v>32557</v>
      </c>
      <c r="G38" s="47">
        <f t="shared" si="65"/>
        <v>187651</v>
      </c>
      <c r="H38" s="48">
        <f t="shared" ref="H38:K38" si="69">C37/C36</f>
        <v>1.0325135739380389</v>
      </c>
      <c r="I38" s="48">
        <f t="shared" si="69"/>
        <v>1.2714993804213135</v>
      </c>
      <c r="J38" s="48">
        <f t="shared" si="69"/>
        <v>1.11215106408181</v>
      </c>
      <c r="K38" s="48">
        <f t="shared" si="69"/>
        <v>1.1701437157042069</v>
      </c>
      <c r="L38" s="48">
        <f>G37/G36</f>
        <v>1.1603662809578341</v>
      </c>
      <c r="N38" s="47">
        <f t="shared" ref="N38" si="70">N37-N36</f>
        <v>17770</v>
      </c>
      <c r="O38" s="48">
        <f t="shared" si="10"/>
        <v>1.0851787939794841</v>
      </c>
    </row>
    <row r="39" spans="1:15" x14ac:dyDescent="0.35">
      <c r="A39" s="79" t="s">
        <v>42</v>
      </c>
      <c r="B39" s="1" t="s">
        <v>62</v>
      </c>
      <c r="C39" s="47">
        <f>C3+C6+C9+C12+C15+C18+C21+C21+C24+C27+C30+C33+C36</f>
        <v>2325240</v>
      </c>
      <c r="D39" s="47">
        <f t="shared" ref="D39:G39" si="71">D3+D6+D9+D12+D15+D18+D21+D21+D24+D27+D30+D33+D36</f>
        <v>5118290</v>
      </c>
      <c r="E39" s="47">
        <f t="shared" si="71"/>
        <v>6581580</v>
      </c>
      <c r="F39" s="47">
        <f t="shared" si="71"/>
        <v>2818220</v>
      </c>
      <c r="G39" s="47">
        <f t="shared" si="71"/>
        <v>16843330</v>
      </c>
      <c r="H39" s="48"/>
      <c r="I39" s="48"/>
      <c r="J39" s="48"/>
      <c r="K39" s="48"/>
      <c r="L39" s="48"/>
      <c r="N39" s="47">
        <f t="shared" ref="N39" si="72">N3+N6+N9+N12+N15+N18+N21+N21+N24+N27+N30+N33+N36</f>
        <v>2654300</v>
      </c>
      <c r="O39" s="48"/>
    </row>
    <row r="40" spans="1:15" x14ac:dyDescent="0.35">
      <c r="A40" s="79"/>
      <c r="B40" s="1" t="s">
        <v>63</v>
      </c>
      <c r="C40" s="47">
        <f t="shared" ref="C40:G41" si="73">C4+C7+C10+C13+C16+C19+C22+C22+C25+C28+C31+C34+C37</f>
        <v>2145984</v>
      </c>
      <c r="D40" s="47">
        <f t="shared" si="73"/>
        <v>6315237</v>
      </c>
      <c r="E40" s="47">
        <f t="shared" si="73"/>
        <v>6863062</v>
      </c>
      <c r="F40" s="47">
        <f t="shared" si="73"/>
        <v>3130027</v>
      </c>
      <c r="G40" s="47">
        <f t="shared" si="73"/>
        <v>18454310</v>
      </c>
      <c r="H40" s="48"/>
      <c r="I40" s="48"/>
      <c r="J40" s="48"/>
      <c r="K40" s="48"/>
      <c r="L40" s="48"/>
      <c r="N40" s="47">
        <f t="shared" ref="N40" si="74">N4+N7+N10+N13+N16+N19+N22+N22+N25+N28+N31+N34+N37</f>
        <v>2709215</v>
      </c>
      <c r="O40" s="48"/>
    </row>
    <row r="41" spans="1:15" x14ac:dyDescent="0.35">
      <c r="A41" s="79"/>
      <c r="B41" s="1" t="s">
        <v>66</v>
      </c>
      <c r="C41" s="47">
        <f t="shared" si="73"/>
        <v>-179256</v>
      </c>
      <c r="D41" s="47">
        <f t="shared" si="73"/>
        <v>1196947</v>
      </c>
      <c r="E41" s="47">
        <f t="shared" si="73"/>
        <v>281482</v>
      </c>
      <c r="F41" s="47">
        <f t="shared" si="73"/>
        <v>311807</v>
      </c>
      <c r="G41" s="47">
        <f t="shared" si="73"/>
        <v>1610980</v>
      </c>
      <c r="H41" s="48">
        <f t="shared" ref="H41:K41" si="75">C40/C39</f>
        <v>0.92290860298291788</v>
      </c>
      <c r="I41" s="48">
        <f t="shared" si="75"/>
        <v>1.2338568154598508</v>
      </c>
      <c r="J41" s="48">
        <f t="shared" si="75"/>
        <v>1.0427681498971371</v>
      </c>
      <c r="K41" s="48">
        <f t="shared" si="75"/>
        <v>1.1106396945589769</v>
      </c>
      <c r="L41" s="48">
        <f>G40/G39</f>
        <v>1.0956449823164423</v>
      </c>
      <c r="N41" s="47">
        <f t="shared" ref="N41" si="76">N5+N8+N11+N14+N17+N20+N23+N23+N26+N29+N32+N35+N38</f>
        <v>54915</v>
      </c>
      <c r="O41" s="48">
        <f t="shared" si="10"/>
        <v>1.020689070564744</v>
      </c>
    </row>
    <row r="42" spans="1:15" x14ac:dyDescent="0.35">
      <c r="C42" s="48">
        <f>C40/C39</f>
        <v>0.92290860298291788</v>
      </c>
      <c r="D42" s="48">
        <f t="shared" ref="D42:G42" si="77">D40/D39</f>
        <v>1.2338568154598508</v>
      </c>
      <c r="E42" s="48">
        <f t="shared" si="77"/>
        <v>1.0427681498971371</v>
      </c>
      <c r="F42" s="48">
        <f t="shared" si="77"/>
        <v>1.1106396945589769</v>
      </c>
      <c r="G42" s="48">
        <f t="shared" si="77"/>
        <v>1.0956449823164423</v>
      </c>
      <c r="H42" s="48"/>
      <c r="I42" s="48"/>
      <c r="J42" s="48"/>
      <c r="K42" s="48"/>
      <c r="L42" s="48"/>
      <c r="N42" s="48">
        <f t="shared" ref="N42" si="78">N40/N39</f>
        <v>1.020689070564744</v>
      </c>
      <c r="O42" s="48"/>
    </row>
  </sheetData>
  <mergeCells count="13">
    <mergeCell ref="A39:A41"/>
    <mergeCell ref="A21:A23"/>
    <mergeCell ref="A24:A26"/>
    <mergeCell ref="A27:A29"/>
    <mergeCell ref="A30:A32"/>
    <mergeCell ref="A33:A35"/>
    <mergeCell ref="A36:A38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"/>
  <sheetViews>
    <sheetView workbookViewId="0">
      <selection activeCell="N8" sqref="N8"/>
    </sheetView>
  </sheetViews>
  <sheetFormatPr defaultRowHeight="14.5" x14ac:dyDescent="0.35"/>
  <cols>
    <col min="1" max="1" width="37" bestFit="1" customWidth="1"/>
  </cols>
  <sheetData>
    <row r="3" spans="1:15" x14ac:dyDescent="0.35">
      <c r="A3" s="23" t="s">
        <v>95</v>
      </c>
    </row>
    <row r="4" spans="1:15" x14ac:dyDescent="0.35">
      <c r="D4" s="80" t="s">
        <v>106</v>
      </c>
      <c r="E4" s="80"/>
      <c r="F4" s="80"/>
      <c r="G4" s="80" t="s">
        <v>107</v>
      </c>
      <c r="H4" s="80"/>
      <c r="I4" s="80"/>
      <c r="J4" s="80" t="s">
        <v>108</v>
      </c>
      <c r="K4" s="80"/>
      <c r="L4" s="80"/>
      <c r="M4" s="80" t="s">
        <v>109</v>
      </c>
      <c r="N4" s="80"/>
      <c r="O4" s="80"/>
    </row>
    <row r="5" spans="1:15" ht="105" customHeight="1" x14ac:dyDescent="0.35">
      <c r="B5" s="79" t="s">
        <v>48</v>
      </c>
      <c r="C5" s="79"/>
      <c r="D5" s="81" t="s">
        <v>96</v>
      </c>
      <c r="E5" s="81"/>
      <c r="F5" s="46" t="s">
        <v>94</v>
      </c>
      <c r="G5" s="81" t="s">
        <v>98</v>
      </c>
      <c r="H5" s="81"/>
      <c r="I5" s="46" t="s">
        <v>94</v>
      </c>
      <c r="J5" s="81" t="s">
        <v>92</v>
      </c>
      <c r="K5" s="81"/>
      <c r="L5" s="46" t="s">
        <v>94</v>
      </c>
      <c r="M5" s="81" t="s">
        <v>93</v>
      </c>
      <c r="N5" s="81"/>
      <c r="O5" s="46" t="s">
        <v>94</v>
      </c>
    </row>
    <row r="6" spans="1:15" x14ac:dyDescent="0.35">
      <c r="B6" s="34" t="s">
        <v>53</v>
      </c>
      <c r="C6" s="34" t="s">
        <v>54</v>
      </c>
      <c r="D6" s="34" t="s">
        <v>53</v>
      </c>
      <c r="E6" s="34" t="s">
        <v>54</v>
      </c>
      <c r="F6" s="34"/>
      <c r="G6" s="34" t="s">
        <v>53</v>
      </c>
      <c r="H6" s="34" t="s">
        <v>54</v>
      </c>
      <c r="I6" s="34"/>
      <c r="J6" s="34" t="s">
        <v>53</v>
      </c>
      <c r="K6" s="34" t="s">
        <v>54</v>
      </c>
      <c r="L6" s="34"/>
      <c r="M6" s="34" t="s">
        <v>53</v>
      </c>
      <c r="N6" s="34" t="s">
        <v>54</v>
      </c>
      <c r="O6" s="34"/>
    </row>
    <row r="7" spans="1:15" x14ac:dyDescent="0.35">
      <c r="A7" s="1" t="s">
        <v>52</v>
      </c>
      <c r="B7" s="35">
        <v>840</v>
      </c>
      <c r="C7" s="35">
        <f>B7*1.27</f>
        <v>1066.8</v>
      </c>
      <c r="D7" s="35">
        <v>925</v>
      </c>
      <c r="E7" s="35">
        <f>D7*1.27</f>
        <v>1174.75</v>
      </c>
      <c r="F7" s="48">
        <f>E7/C7</f>
        <v>1.1011904761904763</v>
      </c>
      <c r="G7" s="35">
        <v>965</v>
      </c>
      <c r="H7" s="35">
        <f>G7*1.27</f>
        <v>1225.55</v>
      </c>
      <c r="I7" s="48">
        <f>H7/C7</f>
        <v>1.1488095238095237</v>
      </c>
      <c r="J7" s="35">
        <f>szoc.étk.!D20</f>
        <v>1080</v>
      </c>
      <c r="K7" s="35">
        <f>J7*1.27</f>
        <v>1371.6</v>
      </c>
      <c r="L7" s="48">
        <f>K7/C7</f>
        <v>1.2857142857142856</v>
      </c>
      <c r="M7" s="35">
        <f>szoc.étk.!E19</f>
        <v>1154</v>
      </c>
      <c r="N7" s="35">
        <f>M7*1.27</f>
        <v>1465.58</v>
      </c>
      <c r="O7" s="48">
        <f>N7/C7</f>
        <v>1.3738095238095238</v>
      </c>
    </row>
    <row r="8" spans="1:15" x14ac:dyDescent="0.35">
      <c r="A8" s="1" t="s">
        <v>51</v>
      </c>
      <c r="B8" s="35">
        <v>1060</v>
      </c>
      <c r="C8" s="35">
        <f>B8*1.27</f>
        <v>1346.2</v>
      </c>
      <c r="D8" s="35">
        <v>1165</v>
      </c>
      <c r="E8" s="35">
        <f>D8*1.27</f>
        <v>1479.55</v>
      </c>
      <c r="F8" s="48">
        <f>E8/C8</f>
        <v>1.0990566037735849</v>
      </c>
      <c r="G8" s="35">
        <v>1205</v>
      </c>
      <c r="H8" s="35">
        <f>G8*1.27</f>
        <v>1530.35</v>
      </c>
      <c r="I8" s="48">
        <f>H8/C8</f>
        <v>1.1367924528301885</v>
      </c>
      <c r="J8" s="35">
        <f>J7+240</f>
        <v>1320</v>
      </c>
      <c r="K8" s="35">
        <f>J8*1.27</f>
        <v>1676.4</v>
      </c>
      <c r="L8" s="48">
        <f>K8/C8</f>
        <v>1.2452830188679245</v>
      </c>
      <c r="M8" s="35">
        <f>M7+240</f>
        <v>1394</v>
      </c>
      <c r="N8" s="35">
        <f>M8*1.27</f>
        <v>1770.38</v>
      </c>
      <c r="O8" s="48">
        <f>N8/C8</f>
        <v>1.3150943396226416</v>
      </c>
    </row>
  </sheetData>
  <mergeCells count="9">
    <mergeCell ref="B5:C5"/>
    <mergeCell ref="D4:F4"/>
    <mergeCell ref="G4:I4"/>
    <mergeCell ref="J4:L4"/>
    <mergeCell ref="M4:O4"/>
    <mergeCell ref="J5:K5"/>
    <mergeCell ref="M5:N5"/>
    <mergeCell ref="D5:E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nyersag jelenlegi</vt:lpstr>
      <vt:lpstr>rezsi konyha</vt:lpstr>
      <vt:lpstr>szoc. bér kiadás</vt:lpstr>
      <vt:lpstr>szoc.étk.</vt:lpstr>
      <vt:lpstr>norma-felhaszn.2025</vt:lpstr>
      <vt:lpstr>szoc.étk. javaslatok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Nerhaft Borbála</dc:creator>
  <cp:lastModifiedBy>USER1</cp:lastModifiedBy>
  <cp:lastPrinted>2026-02-12T09:59:14Z</cp:lastPrinted>
  <dcterms:created xsi:type="dcterms:W3CDTF">2015-06-05T18:19:34Z</dcterms:created>
  <dcterms:modified xsi:type="dcterms:W3CDTF">2026-02-26T16:43:29Z</dcterms:modified>
</cp:coreProperties>
</file>